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ihonov_d\Documents\tempo\Петанк\турниры\Зимний тет\2024\"/>
    </mc:Choice>
  </mc:AlternateContent>
  <bookViews>
    <workbookView xWindow="-120" yWindow="-120" windowWidth="24240" windowHeight="13740" activeTab="6"/>
  </bookViews>
  <sheets>
    <sheet name="Регистрация" sheetId="7" r:id="rId1"/>
    <sheet name="A" sheetId="1" r:id="rId2"/>
    <sheet name="B" sheetId="3" r:id="rId3"/>
    <sheet name="C" sheetId="4" r:id="rId4"/>
    <sheet name="D" sheetId="2" r:id="rId5"/>
    <sheet name="КА" sheetId="5" r:id="rId6"/>
    <sheet name="КВ" sheetId="6" r:id="rId7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7" l="1"/>
  <c r="E30" i="7"/>
  <c r="C30" i="7"/>
  <c r="F29" i="7"/>
  <c r="E29" i="7"/>
  <c r="C29" i="7"/>
  <c r="F28" i="7"/>
  <c r="E28" i="7"/>
  <c r="C28" i="7"/>
  <c r="H21" i="1"/>
  <c r="H12" i="3"/>
  <c r="C41" i="1"/>
  <c r="F6" i="1"/>
  <c r="F12" i="2"/>
  <c r="G12" i="3"/>
  <c r="H31" i="1"/>
  <c r="C37" i="3"/>
  <c r="K12" i="3"/>
  <c r="H27" i="3"/>
  <c r="F10" i="4"/>
  <c r="C26" i="2"/>
  <c r="H36" i="1"/>
  <c r="H35" i="4"/>
  <c r="F6" i="4"/>
  <c r="G12" i="2"/>
  <c r="H10" i="3"/>
  <c r="J4" i="2"/>
  <c r="H40" i="1"/>
  <c r="C36" i="3"/>
  <c r="H30" i="1"/>
  <c r="C32" i="1"/>
  <c r="G4" i="2"/>
  <c r="G4" i="4"/>
  <c r="H26" i="4"/>
  <c r="I14" i="3"/>
  <c r="H22" i="3"/>
  <c r="G12" i="1"/>
  <c r="H36" i="3"/>
  <c r="C22" i="3"/>
  <c r="I8" i="1"/>
  <c r="J6" i="2"/>
  <c r="C30" i="3"/>
  <c r="F12" i="3"/>
  <c r="K12" i="1"/>
  <c r="I8" i="3"/>
  <c r="J10" i="3"/>
  <c r="C42" i="3"/>
  <c r="C18" i="4"/>
  <c r="C21" i="3"/>
  <c r="C19" i="2"/>
  <c r="F10" i="1"/>
  <c r="G8" i="4"/>
  <c r="B32" i="5"/>
  <c r="H42" i="3"/>
  <c r="H41" i="1"/>
  <c r="H31" i="2"/>
  <c r="F14" i="3"/>
  <c r="I8" i="2"/>
  <c r="J10" i="1"/>
  <c r="G8" i="3"/>
  <c r="I9" i="2"/>
  <c r="I8" i="4"/>
  <c r="H32" i="1"/>
  <c r="I9" i="1"/>
  <c r="C31" i="4"/>
  <c r="B20" i="5"/>
  <c r="B16" i="5"/>
  <c r="C31" i="1"/>
  <c r="K4" i="1"/>
  <c r="K5" i="1" s="1"/>
  <c r="I4" i="3"/>
  <c r="G4" i="3"/>
  <c r="J8" i="3"/>
  <c r="J9" i="3" s="1"/>
  <c r="I4" i="1"/>
  <c r="H26" i="2"/>
  <c r="H35" i="2"/>
  <c r="C31" i="3"/>
  <c r="C22" i="1"/>
  <c r="H23" i="2"/>
  <c r="H40" i="3"/>
  <c r="J8" i="4"/>
  <c r="J9" i="4" s="1"/>
  <c r="C35" i="4"/>
  <c r="I12" i="3"/>
  <c r="I12" i="4"/>
  <c r="B28" i="6"/>
  <c r="H22" i="2"/>
  <c r="J10" i="2"/>
  <c r="H35" i="3"/>
  <c r="H31" i="3"/>
  <c r="F6" i="3"/>
  <c r="G12" i="4"/>
  <c r="H37" i="3"/>
  <c r="H18" i="4"/>
  <c r="C20" i="3"/>
  <c r="J10" i="4"/>
  <c r="I15" i="3"/>
  <c r="K8" i="1"/>
  <c r="H26" i="1"/>
  <c r="K9" i="1"/>
  <c r="C40" i="3"/>
  <c r="C26" i="3"/>
  <c r="F8" i="2"/>
  <c r="C19" i="4"/>
  <c r="H20" i="1"/>
  <c r="C21" i="1"/>
  <c r="C18" i="2"/>
  <c r="C30" i="4"/>
  <c r="H10" i="2"/>
  <c r="I4" i="2"/>
  <c r="C36" i="1"/>
  <c r="J5" i="2"/>
  <c r="C27" i="4"/>
  <c r="F7" i="1"/>
  <c r="H27" i="4"/>
  <c r="H19" i="4"/>
  <c r="H12" i="1"/>
  <c r="K8" i="3"/>
  <c r="K10" i="3"/>
  <c r="I6" i="3"/>
  <c r="B8" i="5"/>
  <c r="C30" i="1"/>
  <c r="H25" i="3"/>
  <c r="C34" i="4"/>
  <c r="C20" i="1"/>
  <c r="B8" i="6"/>
  <c r="C35" i="3"/>
  <c r="C34" i="2"/>
  <c r="I5" i="3"/>
  <c r="H30" i="2"/>
  <c r="H6" i="1"/>
  <c r="C27" i="1"/>
  <c r="J8" i="1"/>
  <c r="I12" i="1"/>
  <c r="I13" i="1" s="1"/>
  <c r="I6" i="1"/>
  <c r="G13" i="2"/>
  <c r="F6" i="2"/>
  <c r="H12" i="4"/>
  <c r="H13" i="4" s="1"/>
  <c r="B24" i="6"/>
  <c r="J4" i="3"/>
  <c r="H18" i="2"/>
  <c r="G10" i="3"/>
  <c r="H30" i="4"/>
  <c r="C22" i="4"/>
  <c r="G14" i="1"/>
  <c r="C27" i="3"/>
  <c r="I13" i="3"/>
  <c r="H13" i="1"/>
  <c r="J4" i="4"/>
  <c r="B12" i="5"/>
  <c r="H19" i="2"/>
  <c r="H13" i="3"/>
  <c r="C35" i="2"/>
  <c r="C23" i="4"/>
  <c r="C27" i="2"/>
  <c r="H6" i="3"/>
  <c r="J8" i="2"/>
  <c r="F11" i="4"/>
  <c r="H4" i="3"/>
  <c r="H5" i="3" s="1"/>
  <c r="F8" i="3"/>
  <c r="F9" i="3" s="1"/>
  <c r="C25" i="1"/>
  <c r="H6" i="4"/>
  <c r="C32" i="3"/>
  <c r="F8" i="4"/>
  <c r="F9" i="4" s="1"/>
  <c r="H14" i="3"/>
  <c r="B32" i="6"/>
  <c r="H32" i="3"/>
  <c r="H30" i="3"/>
  <c r="J6" i="3"/>
  <c r="J14" i="3"/>
  <c r="H14" i="1"/>
  <c r="H15" i="1" s="1"/>
  <c r="J11" i="2"/>
  <c r="F13" i="2"/>
  <c r="G9" i="3"/>
  <c r="H37" i="1"/>
  <c r="K10" i="1"/>
  <c r="I4" i="4"/>
  <c r="I5" i="4" s="1"/>
  <c r="G4" i="1"/>
  <c r="G5" i="1" s="1"/>
  <c r="J14" i="1"/>
  <c r="J15" i="1" s="1"/>
  <c r="F8" i="1"/>
  <c r="C22" i="2"/>
  <c r="F10" i="2"/>
  <c r="H31" i="4"/>
  <c r="F9" i="1"/>
  <c r="H41" i="3"/>
  <c r="G14" i="3"/>
  <c r="G15" i="3" s="1"/>
  <c r="F14" i="1"/>
  <c r="F15" i="1" s="1"/>
  <c r="J11" i="3"/>
  <c r="K4" i="3"/>
  <c r="B4" i="6"/>
  <c r="H22" i="1"/>
  <c r="F11" i="2"/>
  <c r="F13" i="3"/>
  <c r="K6" i="1"/>
  <c r="K7" i="1" s="1"/>
  <c r="B24" i="5"/>
  <c r="I6" i="2"/>
  <c r="I7" i="2" s="1"/>
  <c r="H4" i="1"/>
  <c r="H35" i="1"/>
  <c r="C31" i="2"/>
  <c r="F12" i="1"/>
  <c r="C41" i="3"/>
  <c r="I7" i="3"/>
  <c r="F10" i="3"/>
  <c r="F11" i="3" s="1"/>
  <c r="B28" i="5"/>
  <c r="B12" i="6"/>
  <c r="C35" i="1"/>
  <c r="H26" i="3"/>
  <c r="I12" i="2"/>
  <c r="I13" i="2" s="1"/>
  <c r="H27" i="2"/>
  <c r="H27" i="1"/>
  <c r="H42" i="1"/>
  <c r="B4" i="5"/>
  <c r="G10" i="4"/>
  <c r="J4" i="1"/>
  <c r="F12" i="4"/>
  <c r="F13" i="4" s="1"/>
  <c r="H10" i="1"/>
  <c r="G5" i="3"/>
  <c r="J6" i="1"/>
  <c r="H23" i="4"/>
  <c r="H34" i="4"/>
  <c r="F11" i="1"/>
  <c r="G5" i="4"/>
  <c r="H34" i="2"/>
  <c r="C25" i="3"/>
  <c r="C42" i="1"/>
  <c r="K13" i="3"/>
  <c r="C26" i="1"/>
  <c r="H21" i="3"/>
  <c r="H25" i="1"/>
  <c r="I13" i="4"/>
  <c r="H10" i="4"/>
  <c r="H11" i="4" s="1"/>
  <c r="F13" i="1"/>
  <c r="B20" i="6"/>
  <c r="H4" i="4"/>
  <c r="K6" i="3"/>
  <c r="K7" i="3" s="1"/>
  <c r="H4" i="2"/>
  <c r="I14" i="1"/>
  <c r="I6" i="4"/>
  <c r="I7" i="4" s="1"/>
  <c r="G10" i="1"/>
  <c r="F7" i="3"/>
  <c r="J5" i="4"/>
  <c r="H6" i="2"/>
  <c r="H7" i="2" s="1"/>
  <c r="H12" i="2"/>
  <c r="H13" i="2" s="1"/>
  <c r="C37" i="1"/>
  <c r="C40" i="1"/>
  <c r="C26" i="4"/>
  <c r="H20" i="3"/>
  <c r="H22" i="4"/>
  <c r="H5" i="1"/>
  <c r="C30" i="2"/>
  <c r="G8" i="2"/>
  <c r="C23" i="2"/>
  <c r="I7" i="1"/>
  <c r="B16" i="6"/>
  <c r="G8" i="1"/>
  <c r="J6" i="4"/>
  <c r="J7" i="4" s="1"/>
  <c r="G10" i="2"/>
  <c r="G13" i="4"/>
  <c r="H7" i="1"/>
  <c r="K12" i="2" l="1"/>
  <c r="L13" i="2"/>
  <c r="F6" i="6"/>
  <c r="B36" i="6" s="1"/>
  <c r="F38" i="6" s="1"/>
  <c r="F30" i="5"/>
  <c r="J26" i="5" s="1"/>
  <c r="K12" i="4"/>
  <c r="L13" i="4"/>
  <c r="F22" i="6"/>
  <c r="J26" i="6" s="1"/>
  <c r="F14" i="6"/>
  <c r="J10" i="6" s="1"/>
  <c r="N18" i="6" s="1"/>
  <c r="F30" i="6"/>
  <c r="B40" i="6" s="1"/>
  <c r="F22" i="5"/>
  <c r="B40" i="5" s="1"/>
  <c r="F38" i="5" s="1"/>
  <c r="F6" i="5"/>
  <c r="B36" i="5" s="1"/>
  <c r="F14" i="5"/>
  <c r="J10" i="5" s="1"/>
  <c r="N18" i="5" s="1"/>
  <c r="G11" i="2"/>
  <c r="G11" i="4"/>
  <c r="G11" i="3"/>
  <c r="I5" i="2"/>
  <c r="J11" i="1"/>
  <c r="G5" i="2"/>
  <c r="G11" i="1"/>
  <c r="H5" i="4"/>
  <c r="K5" i="3"/>
  <c r="H11" i="1"/>
  <c r="H15" i="3"/>
  <c r="K11" i="1"/>
  <c r="G13" i="1"/>
  <c r="I15" i="1"/>
  <c r="K11" i="3"/>
  <c r="K13" i="1"/>
  <c r="J5" i="3"/>
  <c r="H7" i="4"/>
  <c r="H5" i="2"/>
  <c r="F7" i="4"/>
  <c r="J7" i="1"/>
  <c r="K9" i="3"/>
  <c r="J7" i="2"/>
  <c r="H7" i="3"/>
  <c r="J7" i="3"/>
  <c r="G9" i="2"/>
  <c r="J15" i="3"/>
  <c r="F7" i="2"/>
  <c r="H11" i="2"/>
  <c r="I9" i="3"/>
  <c r="H11" i="3"/>
  <c r="F15" i="3"/>
  <c r="J5" i="1"/>
  <c r="G9" i="1"/>
  <c r="I5" i="1"/>
  <c r="J9" i="2"/>
  <c r="F9" i="2"/>
  <c r="J9" i="1"/>
  <c r="G15" i="1"/>
  <c r="I9" i="4"/>
  <c r="G13" i="3"/>
  <c r="G9" i="4"/>
  <c r="J11" i="4"/>
  <c r="L14" i="1" l="1"/>
  <c r="M15" i="1"/>
  <c r="K8" i="2"/>
  <c r="L9" i="2"/>
  <c r="L8" i="3"/>
  <c r="M9" i="3"/>
  <c r="K6" i="2"/>
  <c r="L7" i="2"/>
  <c r="M7" i="1"/>
  <c r="L6" i="1"/>
  <c r="M11" i="3"/>
  <c r="L10" i="3"/>
  <c r="K10" i="2"/>
  <c r="L11" i="2"/>
  <c r="L11" i="4"/>
  <c r="K10" i="4"/>
  <c r="L4" i="1"/>
  <c r="M5" i="1"/>
  <c r="L7" i="4"/>
  <c r="K6" i="4"/>
  <c r="L12" i="1"/>
  <c r="M13" i="1"/>
  <c r="L9" i="4"/>
  <c r="K8" i="4"/>
  <c r="K4" i="2"/>
  <c r="L5" i="2"/>
  <c r="L8" i="1"/>
  <c r="M9" i="1"/>
  <c r="L6" i="3"/>
  <c r="M7" i="3"/>
  <c r="L5" i="4"/>
  <c r="K4" i="4"/>
  <c r="L12" i="3"/>
  <c r="M13" i="3"/>
  <c r="M5" i="3"/>
  <c r="L4" i="3"/>
  <c r="L14" i="3"/>
  <c r="M15" i="3"/>
  <c r="M11" i="1"/>
  <c r="L10" i="1"/>
</calcChain>
</file>

<file path=xl/sharedStrings.xml><?xml version="1.0" encoding="utf-8"?>
<sst xmlns="http://schemas.openxmlformats.org/spreadsheetml/2006/main" count="275" uniqueCount="97">
  <si>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</si>
  <si>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</si>
  <si>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</si>
  <si>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</si>
  <si>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</si>
  <si>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</si>
  <si>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</si>
  <si>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</si>
  <si>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</si>
  <si>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</si>
  <si>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</si>
  <si>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Женский финал группа А</t>
  </si>
  <si>
    <t>Москва</t>
  </si>
  <si>
    <t>Женский финал группа B</t>
  </si>
  <si>
    <t>Женский финал группа С</t>
  </si>
  <si>
    <t>Женский финал группа D</t>
  </si>
  <si>
    <t>Женский финал турнира "Зимний тет-а-тет"</t>
  </si>
  <si>
    <t>Кубок В турнира "Зимний тет-а-тет", женщины</t>
  </si>
  <si>
    <t>A</t>
  </si>
  <si>
    <t>B</t>
  </si>
  <si>
    <t>C</t>
  </si>
  <si>
    <t>D</t>
  </si>
  <si>
    <t>1 и 2</t>
  </si>
  <si>
    <t>3 и 4</t>
  </si>
  <si>
    <t>5 и 6</t>
  </si>
  <si>
    <t>7 и 8</t>
  </si>
  <si>
    <t>За 3-е место</t>
  </si>
  <si>
    <t>Игрок</t>
  </si>
  <si>
    <t>Город</t>
  </si>
  <si>
    <t>Рейтинг</t>
  </si>
  <si>
    <t>Крошилова Ирина</t>
  </si>
  <si>
    <t>Питер</t>
  </si>
  <si>
    <t>Зубова Наталья</t>
  </si>
  <si>
    <t>Лукьянова Ирина</t>
  </si>
  <si>
    <t>Алкина Светлана</t>
  </si>
  <si>
    <t>Калуга</t>
  </si>
  <si>
    <t>Петрушко Юлия</t>
  </si>
  <si>
    <t>Полякова Оксана</t>
  </si>
  <si>
    <t>Дубовицкая Ольга</t>
  </si>
  <si>
    <t>Бирюкова Наталья</t>
  </si>
  <si>
    <t>Мирошниченко Вера</t>
  </si>
  <si>
    <t>Бублик Татьяна</t>
  </si>
  <si>
    <t>Десногорск</t>
  </si>
  <si>
    <t>Пименова Татьяна</t>
  </si>
  <si>
    <t>Скляр Светлана</t>
  </si>
  <si>
    <t>Сафонова Светлана</t>
  </si>
  <si>
    <t>Баринова Светлана</t>
  </si>
  <si>
    <t>Соколова Ольга</t>
  </si>
  <si>
    <t>Приозерск</t>
  </si>
  <si>
    <t>Пелевина Наталья</t>
  </si>
  <si>
    <t>Кондратова Нина</t>
  </si>
  <si>
    <t>Большакова Мария</t>
  </si>
  <si>
    <t>Елсакова Алена</t>
  </si>
  <si>
    <t>Орлова Таисия</t>
  </si>
  <si>
    <t>Лист ожидания Москва</t>
  </si>
  <si>
    <t>Место</t>
  </si>
  <si>
    <t>процент побед</t>
  </si>
  <si>
    <t>поб над ф</t>
  </si>
  <si>
    <t>ср разн</t>
  </si>
  <si>
    <t>ср очки</t>
  </si>
  <si>
    <t>группа</t>
  </si>
  <si>
    <t>рейтинг</t>
  </si>
  <si>
    <t>Грачанац Наталья</t>
  </si>
  <si>
    <t>Ж3</t>
  </si>
  <si>
    <t>Хафизова Индира</t>
  </si>
  <si>
    <t>Ж2</t>
  </si>
  <si>
    <t>Кайтукова Фатима</t>
  </si>
  <si>
    <t>Ж1</t>
  </si>
  <si>
    <t>Крылова Светлана</t>
  </si>
  <si>
    <t>вместо Ткаченко</t>
  </si>
  <si>
    <t>чемпион 2023</t>
  </si>
  <si>
    <t>Алкина</t>
  </si>
  <si>
    <t>Орлова</t>
  </si>
  <si>
    <t>Лукьянова</t>
  </si>
  <si>
    <t>Пелевина</t>
  </si>
  <si>
    <t>Сафонова</t>
  </si>
  <si>
    <t>Крылова</t>
  </si>
  <si>
    <t>Бирюкова</t>
  </si>
  <si>
    <t>Мирошниченко</t>
  </si>
  <si>
    <t>Зубова</t>
  </si>
  <si>
    <t>Елсакова</t>
  </si>
  <si>
    <t>Большакова</t>
  </si>
  <si>
    <t>Соколова</t>
  </si>
  <si>
    <t>Дубовицкая</t>
  </si>
  <si>
    <t>Кондратова</t>
  </si>
  <si>
    <t>Крошилова</t>
  </si>
  <si>
    <t>Баринова</t>
  </si>
  <si>
    <t>Пименова</t>
  </si>
  <si>
    <t>Кайтукова</t>
  </si>
  <si>
    <t>Полякова</t>
  </si>
  <si>
    <t>Петрушко</t>
  </si>
  <si>
    <t>Бублик</t>
  </si>
  <si>
    <t>Скляр</t>
  </si>
  <si>
    <t xml:space="preserve"> </t>
  </si>
  <si>
    <t>тех.поб.</t>
  </si>
  <si>
    <t>вместо Трушиной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</si>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</sst>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#;\-##;0"/>
    <numFmt numFmtId="165" formatCode="\+##;\-##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indexed="8"/>
      <name val="Calibri Light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0" tint="-0.1499984740745262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indexed="8"/>
      <name val="Calibri Light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5" fontId="4" fillId="2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5" fontId="4" fillId="2" borderId="3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center"/>
    </xf>
    <xf numFmtId="14" fontId="0" fillId="0" borderId="0" xfId="0" applyNumberFormat="1"/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0" fillId="0" borderId="31" xfId="0" applyBorder="1" applyAlignment="1">
      <alignment horizontal="center"/>
    </xf>
    <xf numFmtId="0" fontId="0" fillId="0" borderId="31" xfId="0" applyBorder="1"/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 indent="1"/>
    </xf>
    <xf numFmtId="0" fontId="3" fillId="3" borderId="10" xfId="0" applyFont="1" applyFill="1" applyBorder="1" applyAlignment="1">
      <alignment horizontal="left" vertical="center" wrapText="1" indent="1"/>
    </xf>
    <xf numFmtId="0" fontId="3" fillId="3" borderId="11" xfId="0" applyFont="1" applyFill="1" applyBorder="1" applyAlignment="1">
      <alignment horizontal="left" vertical="center" wrapText="1" indent="1"/>
    </xf>
    <xf numFmtId="0" fontId="3" fillId="3" borderId="17" xfId="0" applyFont="1" applyFill="1" applyBorder="1" applyAlignment="1">
      <alignment horizontal="left" vertical="center" wrapText="1" indent="1"/>
    </xf>
    <xf numFmtId="0" fontId="3" fillId="3" borderId="18" xfId="0" applyFont="1" applyFill="1" applyBorder="1" applyAlignment="1">
      <alignment horizontal="left" vertical="center" wrapText="1" indent="1"/>
    </xf>
    <xf numFmtId="0" fontId="3" fillId="3" borderId="19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left" vertical="center" wrapText="1" indent="1"/>
    </xf>
    <xf numFmtId="0" fontId="3" fillId="5" borderId="18" xfId="0" applyFont="1" applyFill="1" applyBorder="1" applyAlignment="1">
      <alignment horizontal="left" vertical="center" wrapText="1" indent="1"/>
    </xf>
    <xf numFmtId="0" fontId="3" fillId="5" borderId="19" xfId="0" applyFont="1" applyFill="1" applyBorder="1" applyAlignment="1">
      <alignment horizontal="left" vertical="center" wrapText="1" indent="1"/>
    </xf>
    <xf numFmtId="0" fontId="3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center" vertical="center"/>
    </xf>
    <xf numFmtId="0" fontId="3" fillId="5" borderId="27" xfId="0" applyFont="1" applyFill="1" applyBorder="1" applyAlignment="1">
      <alignment horizontal="left" vertical="center" wrapText="1" indent="1"/>
    </xf>
    <xf numFmtId="0" fontId="3" fillId="5" borderId="28" xfId="0" applyFont="1" applyFill="1" applyBorder="1" applyAlignment="1">
      <alignment horizontal="left" vertical="center" wrapText="1" indent="1"/>
    </xf>
    <xf numFmtId="0" fontId="3" fillId="5" borderId="29" xfId="0" applyFont="1" applyFill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wrapText="1" indent="1"/>
    </xf>
    <xf numFmtId="0" fontId="3" fillId="3" borderId="28" xfId="0" applyFont="1" applyFill="1" applyBorder="1" applyAlignment="1">
      <alignment horizontal="left" vertical="center" wrapText="1" indent="1"/>
    </xf>
    <xf numFmtId="0" fontId="3" fillId="3" borderId="29" xfId="0" applyFont="1" applyFill="1" applyBorder="1" applyAlignment="1">
      <alignment horizontal="left" vertical="center" wrapText="1" indent="1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left" vertical="center" wrapText="1" indent="1"/>
    </xf>
    <xf numFmtId="0" fontId="3" fillId="4" borderId="18" xfId="0" applyFont="1" applyFill="1" applyBorder="1" applyAlignment="1">
      <alignment horizontal="left" vertical="center" wrapText="1" indent="1"/>
    </xf>
    <xf numFmtId="0" fontId="3" fillId="4" borderId="19" xfId="0" applyFont="1" applyFill="1" applyBorder="1" applyAlignment="1">
      <alignment horizontal="left" vertical="center" wrapText="1" indent="1"/>
    </xf>
    <xf numFmtId="0" fontId="7" fillId="0" borderId="3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E19" sqref="E19"/>
    </sheetView>
  </sheetViews>
  <sheetFormatPr defaultRowHeight="15" x14ac:dyDescent="0.25"/>
  <cols>
    <col min="1" max="1" width="9.140625" style="45"/>
    <col min="2" max="2" width="21.42578125" customWidth="1"/>
    <col min="3" max="3" width="15.7109375" customWidth="1"/>
    <col min="5" max="5" width="12.140625" customWidth="1"/>
    <col min="6" max="7" width="4.7109375" customWidth="1"/>
    <col min="8" max="8" width="8.5703125" customWidth="1"/>
  </cols>
  <sheetData>
    <row r="1" spans="1:8" s="44" customFormat="1" x14ac:dyDescent="0.25">
      <c r="A1" s="46"/>
      <c r="B1" s="46" t="s">
        <v>27</v>
      </c>
      <c r="C1" s="46" t="s">
        <v>28</v>
      </c>
      <c r="D1" s="46" t="s">
        <v>29</v>
      </c>
      <c r="E1" s="46"/>
      <c r="F1" s="46"/>
      <c r="G1" s="46"/>
      <c r="H1" s="46"/>
    </row>
    <row r="2" spans="1:8" x14ac:dyDescent="0.25">
      <c r="A2" s="47"/>
      <c r="B2" s="48"/>
      <c r="C2" s="48"/>
      <c r="D2" s="48"/>
      <c r="E2" s="48"/>
      <c r="F2" s="48"/>
      <c r="G2" s="48"/>
      <c r="H2" s="48"/>
    </row>
    <row r="3" spans="1:8" ht="27" customHeight="1" x14ac:dyDescent="0.25">
      <c r="A3" s="47">
        <v>1</v>
      </c>
      <c r="B3" s="48" t="s">
        <v>30</v>
      </c>
      <c r="C3" s="48" t="s">
        <v>31</v>
      </c>
      <c r="D3" s="48">
        <v>133</v>
      </c>
      <c r="E3" s="48"/>
      <c r="F3" s="48"/>
      <c r="G3" s="48"/>
      <c r="H3" s="48"/>
    </row>
    <row r="4" spans="1:8" ht="27" customHeight="1" x14ac:dyDescent="0.25">
      <c r="A4" s="47">
        <v>2</v>
      </c>
      <c r="B4" s="48" t="s">
        <v>32</v>
      </c>
      <c r="C4" s="48" t="s">
        <v>12</v>
      </c>
      <c r="D4" s="48">
        <v>117</v>
      </c>
      <c r="E4" s="48"/>
      <c r="F4" s="48"/>
      <c r="G4" s="48"/>
      <c r="H4" s="48"/>
    </row>
    <row r="5" spans="1:8" ht="27" customHeight="1" x14ac:dyDescent="0.25">
      <c r="A5" s="47">
        <v>3</v>
      </c>
      <c r="B5" s="48" t="s">
        <v>33</v>
      </c>
      <c r="C5" s="48" t="s">
        <v>12</v>
      </c>
      <c r="D5" s="48">
        <v>114</v>
      </c>
      <c r="E5" s="48"/>
      <c r="F5" s="48"/>
      <c r="G5" s="48"/>
      <c r="H5" s="48"/>
    </row>
    <row r="6" spans="1:8" ht="27" customHeight="1" x14ac:dyDescent="0.25">
      <c r="A6" s="47">
        <v>4</v>
      </c>
      <c r="B6" s="48" t="s">
        <v>34</v>
      </c>
      <c r="C6" s="48" t="s">
        <v>35</v>
      </c>
      <c r="D6" s="48">
        <v>113</v>
      </c>
      <c r="E6" s="48"/>
      <c r="F6" s="48"/>
      <c r="G6" s="48"/>
      <c r="H6" s="48"/>
    </row>
    <row r="7" spans="1:8" ht="27" customHeight="1" x14ac:dyDescent="0.25">
      <c r="A7" s="47">
        <v>5</v>
      </c>
      <c r="B7" s="48" t="s">
        <v>36</v>
      </c>
      <c r="C7" s="48" t="s">
        <v>12</v>
      </c>
      <c r="D7" s="48">
        <v>111</v>
      </c>
      <c r="E7" s="48"/>
      <c r="F7" s="48"/>
      <c r="G7" s="48"/>
      <c r="H7" s="48"/>
    </row>
    <row r="8" spans="1:8" ht="27" customHeight="1" x14ac:dyDescent="0.25">
      <c r="A8" s="47">
        <v>6</v>
      </c>
      <c r="B8" s="48" t="s">
        <v>37</v>
      </c>
      <c r="C8" s="48" t="s">
        <v>12</v>
      </c>
      <c r="D8" s="48">
        <v>94</v>
      </c>
      <c r="E8" s="48"/>
      <c r="F8" s="48"/>
      <c r="G8" s="48"/>
      <c r="H8" s="48"/>
    </row>
    <row r="9" spans="1:8" ht="27" customHeight="1" x14ac:dyDescent="0.25">
      <c r="A9" s="47">
        <v>7</v>
      </c>
      <c r="B9" s="48" t="s">
        <v>38</v>
      </c>
      <c r="C9" s="48" t="s">
        <v>12</v>
      </c>
      <c r="D9" s="48">
        <v>90</v>
      </c>
      <c r="E9" s="48"/>
      <c r="F9" s="48"/>
      <c r="G9" s="48"/>
      <c r="H9" s="48"/>
    </row>
    <row r="10" spans="1:8" ht="27" customHeight="1" thickBot="1" x14ac:dyDescent="0.3">
      <c r="A10" s="51">
        <v>8</v>
      </c>
      <c r="B10" s="52" t="s">
        <v>39</v>
      </c>
      <c r="C10" s="52" t="s">
        <v>12</v>
      </c>
      <c r="D10" s="52">
        <v>89</v>
      </c>
      <c r="E10" s="48"/>
      <c r="F10" s="48" t="s">
        <v>70</v>
      </c>
      <c r="G10" s="48"/>
      <c r="H10" s="48"/>
    </row>
    <row r="11" spans="1:8" ht="27" customHeight="1" x14ac:dyDescent="0.25">
      <c r="A11" s="49">
        <v>9</v>
      </c>
      <c r="B11" s="50" t="s">
        <v>40</v>
      </c>
      <c r="C11" s="50" t="s">
        <v>31</v>
      </c>
      <c r="D11" s="50">
        <v>84</v>
      </c>
      <c r="E11" s="48"/>
      <c r="F11" s="48"/>
      <c r="G11" s="48"/>
      <c r="H11" s="48"/>
    </row>
    <row r="12" spans="1:8" ht="27" customHeight="1" x14ac:dyDescent="0.25">
      <c r="A12" s="47">
        <v>10</v>
      </c>
      <c r="B12" s="48" t="s">
        <v>41</v>
      </c>
      <c r="C12" s="48" t="s">
        <v>42</v>
      </c>
      <c r="D12" s="48">
        <v>83</v>
      </c>
      <c r="E12" s="48"/>
      <c r="F12" s="48"/>
      <c r="G12" s="48"/>
      <c r="H12" s="48"/>
    </row>
    <row r="13" spans="1:8" ht="27" customHeight="1" x14ac:dyDescent="0.25">
      <c r="A13" s="47">
        <v>11</v>
      </c>
      <c r="B13" s="48" t="s">
        <v>43</v>
      </c>
      <c r="C13" s="48" t="s">
        <v>31</v>
      </c>
      <c r="D13" s="48">
        <v>80</v>
      </c>
      <c r="E13" s="48"/>
      <c r="F13" s="48"/>
      <c r="G13" s="48"/>
      <c r="H13" s="48"/>
    </row>
    <row r="14" spans="1:8" ht="27" customHeight="1" x14ac:dyDescent="0.25">
      <c r="A14" s="47">
        <v>12</v>
      </c>
      <c r="B14" s="48" t="s">
        <v>44</v>
      </c>
      <c r="C14" s="48" t="s">
        <v>42</v>
      </c>
      <c r="D14" s="48">
        <v>78</v>
      </c>
      <c r="E14" s="48"/>
      <c r="F14" s="48"/>
      <c r="G14" s="48"/>
      <c r="H14" s="48"/>
    </row>
    <row r="15" spans="1:8" ht="27" customHeight="1" x14ac:dyDescent="0.25">
      <c r="A15" s="47">
        <v>13</v>
      </c>
      <c r="B15" s="48" t="s">
        <v>45</v>
      </c>
      <c r="C15" s="48" t="s">
        <v>31</v>
      </c>
      <c r="D15" s="48">
        <v>73</v>
      </c>
      <c r="E15" s="48"/>
      <c r="F15" s="48"/>
      <c r="G15" s="48"/>
      <c r="H15" s="48"/>
    </row>
    <row r="16" spans="1:8" ht="27" customHeight="1" x14ac:dyDescent="0.25">
      <c r="A16" s="47">
        <v>14</v>
      </c>
      <c r="B16" s="48" t="s">
        <v>46</v>
      </c>
      <c r="C16" s="48" t="s">
        <v>35</v>
      </c>
      <c r="D16" s="48">
        <v>69</v>
      </c>
      <c r="E16" s="48"/>
      <c r="F16" s="48"/>
      <c r="G16" s="48"/>
      <c r="H16" s="48"/>
    </row>
    <row r="17" spans="1:8" ht="27" customHeight="1" x14ac:dyDescent="0.25">
      <c r="A17" s="47">
        <v>15</v>
      </c>
      <c r="B17" s="48" t="s">
        <v>66</v>
      </c>
      <c r="C17" s="48" t="s">
        <v>12</v>
      </c>
      <c r="D17" s="48"/>
      <c r="E17" s="48"/>
      <c r="F17" s="48" t="s">
        <v>95</v>
      </c>
      <c r="G17" s="48"/>
      <c r="H17" s="48"/>
    </row>
    <row r="18" spans="1:8" ht="27" customHeight="1" x14ac:dyDescent="0.25">
      <c r="A18" s="47">
        <v>16</v>
      </c>
      <c r="B18" s="48" t="s">
        <v>68</v>
      </c>
      <c r="C18" s="48" t="s">
        <v>31</v>
      </c>
      <c r="D18" s="48">
        <v>51</v>
      </c>
      <c r="E18" s="48"/>
      <c r="F18" s="48" t="s">
        <v>69</v>
      </c>
      <c r="G18" s="48"/>
      <c r="H18" s="48"/>
    </row>
    <row r="19" spans="1:8" ht="27" customHeight="1" x14ac:dyDescent="0.25">
      <c r="A19" s="47">
        <v>17</v>
      </c>
      <c r="B19" s="48" t="s">
        <v>47</v>
      </c>
      <c r="C19" s="48" t="s">
        <v>48</v>
      </c>
      <c r="D19" s="48">
        <v>14</v>
      </c>
      <c r="E19" s="48"/>
      <c r="F19" s="48"/>
      <c r="G19" s="48"/>
      <c r="H19" s="48"/>
    </row>
    <row r="20" spans="1:8" ht="27" customHeight="1" x14ac:dyDescent="0.25">
      <c r="A20" s="47">
        <v>18</v>
      </c>
      <c r="B20" s="48" t="s">
        <v>49</v>
      </c>
      <c r="C20" s="48" t="s">
        <v>48</v>
      </c>
      <c r="D20" s="48">
        <v>11</v>
      </c>
      <c r="E20" s="48"/>
      <c r="F20" s="48"/>
      <c r="G20" s="48"/>
      <c r="H20" s="48"/>
    </row>
    <row r="21" spans="1:8" ht="27" customHeight="1" x14ac:dyDescent="0.25">
      <c r="A21" s="47">
        <v>19</v>
      </c>
      <c r="B21" s="48" t="s">
        <v>50</v>
      </c>
      <c r="C21" s="48" t="s">
        <v>31</v>
      </c>
      <c r="D21" s="48">
        <v>0</v>
      </c>
      <c r="E21" s="48"/>
      <c r="F21" s="48"/>
      <c r="G21" s="48"/>
      <c r="H21" s="48"/>
    </row>
    <row r="22" spans="1:8" ht="27" customHeight="1" x14ac:dyDescent="0.25">
      <c r="A22" s="47">
        <v>20</v>
      </c>
      <c r="B22" s="48" t="s">
        <v>51</v>
      </c>
      <c r="C22" s="48" t="s">
        <v>48</v>
      </c>
      <c r="D22" s="48">
        <v>0</v>
      </c>
      <c r="E22" s="48"/>
      <c r="F22" s="48"/>
      <c r="G22" s="48"/>
      <c r="H22" s="48"/>
    </row>
    <row r="23" spans="1:8" ht="27" customHeight="1" x14ac:dyDescent="0.25">
      <c r="A23" s="47">
        <v>21</v>
      </c>
      <c r="B23" s="48" t="s">
        <v>52</v>
      </c>
      <c r="C23" s="48" t="s">
        <v>48</v>
      </c>
      <c r="D23" s="48">
        <v>0</v>
      </c>
      <c r="E23" s="48"/>
      <c r="F23" s="48"/>
      <c r="G23" s="48"/>
      <c r="H23" s="48"/>
    </row>
    <row r="24" spans="1:8" ht="27" customHeight="1" x14ac:dyDescent="0.25">
      <c r="A24" s="47">
        <v>22</v>
      </c>
      <c r="B24" s="48" t="s">
        <v>53</v>
      </c>
      <c r="C24" s="48" t="s">
        <v>48</v>
      </c>
      <c r="D24" s="48">
        <v>0</v>
      </c>
      <c r="E24" s="48"/>
      <c r="F24" s="48"/>
      <c r="G24" s="48"/>
      <c r="H24" s="48"/>
    </row>
    <row r="25" spans="1:8" x14ac:dyDescent="0.25">
      <c r="A25" s="47"/>
      <c r="B25" s="48"/>
      <c r="C25" s="48"/>
      <c r="D25" s="48"/>
      <c r="E25" s="48"/>
      <c r="F25" s="48"/>
      <c r="G25" s="48"/>
      <c r="H25" s="48"/>
    </row>
    <row r="26" spans="1:8" x14ac:dyDescent="0.25">
      <c r="A26" s="47"/>
      <c r="B26" s="48" t="s">
        <v>54</v>
      </c>
      <c r="C26" s="48"/>
      <c r="D26" s="48"/>
      <c r="E26" s="48"/>
      <c r="F26" s="48"/>
      <c r="G26" s="48"/>
      <c r="H26" s="48"/>
    </row>
    <row r="27" spans="1:8" x14ac:dyDescent="0.25">
      <c r="A27" s="47" t="s">
        <v>55</v>
      </c>
      <c r="B27" s="48" t="s">
        <v>27</v>
      </c>
      <c r="C27" s="48" t="s">
        <v>56</v>
      </c>
      <c r="D27" s="48" t="s">
        <v>57</v>
      </c>
      <c r="E27" s="48" t="s">
        <v>58</v>
      </c>
      <c r="F27" s="48" t="s">
        <v>59</v>
      </c>
      <c r="G27" s="48" t="s">
        <v>60</v>
      </c>
      <c r="H27" s="48" t="s">
        <v>61</v>
      </c>
    </row>
    <row r="28" spans="1:8" x14ac:dyDescent="0.25">
      <c r="A28" s="47">
        <v>1</v>
      </c>
      <c r="B28" s="48" t="s">
        <v>62</v>
      </c>
      <c r="C28" s="48">
        <f>2/4*100</f>
        <v>50</v>
      </c>
      <c r="D28" s="48">
        <v>0</v>
      </c>
      <c r="E28" s="48">
        <f>10/4</f>
        <v>2.5</v>
      </c>
      <c r="F28" s="48">
        <f>46/4</f>
        <v>11.5</v>
      </c>
      <c r="G28" s="48" t="s">
        <v>63</v>
      </c>
      <c r="H28" s="48">
        <v>0</v>
      </c>
    </row>
    <row r="29" spans="1:8" x14ac:dyDescent="0.25">
      <c r="A29" s="47">
        <v>2</v>
      </c>
      <c r="B29" s="48" t="s">
        <v>64</v>
      </c>
      <c r="C29" s="48">
        <f>2/4*100</f>
        <v>50</v>
      </c>
      <c r="D29" s="48">
        <v>0</v>
      </c>
      <c r="E29" s="48">
        <f>3/4</f>
        <v>0.75</v>
      </c>
      <c r="F29" s="48">
        <f>48/4</f>
        <v>12</v>
      </c>
      <c r="G29" s="48" t="s">
        <v>65</v>
      </c>
      <c r="H29" s="48">
        <v>129</v>
      </c>
    </row>
    <row r="30" spans="1:8" x14ac:dyDescent="0.25">
      <c r="A30" s="47">
        <v>3</v>
      </c>
      <c r="B30" s="48" t="s">
        <v>66</v>
      </c>
      <c r="C30" s="48">
        <f>2/5*100</f>
        <v>40</v>
      </c>
      <c r="D30" s="48">
        <v>0</v>
      </c>
      <c r="E30" s="48">
        <f>-8/5</f>
        <v>-1.6</v>
      </c>
      <c r="F30" s="48">
        <f>49/5</f>
        <v>9.8000000000000007</v>
      </c>
      <c r="G30" s="48" t="s">
        <v>67</v>
      </c>
      <c r="H30" s="48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workbookViewId="0">
      <selection activeCell="Q7" sqref="Q7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6" ht="38.25" customHeight="1" x14ac:dyDescent="0.25">
      <c r="B1" s="55" t="s">
        <v>11</v>
      </c>
      <c r="C1" s="55"/>
      <c r="D1" s="55"/>
      <c r="E1" s="55"/>
      <c r="F1" s="55"/>
      <c r="G1" s="55"/>
      <c r="H1" s="55"/>
      <c r="I1" s="55"/>
      <c r="J1" s="55"/>
      <c r="K1" s="55"/>
      <c r="L1" t="s">
        <v>12</v>
      </c>
      <c r="N1" s="32">
        <v>45318</v>
      </c>
    </row>
    <row r="2" spans="2:16" ht="15.75" thickBot="1" x14ac:dyDescent="0.3"/>
    <row r="3" spans="2:16" ht="30" customHeight="1" thickBot="1" x14ac:dyDescent="0.3">
      <c r="B3" s="2"/>
      <c r="C3" s="56" t="s">
        <v>0</v>
      </c>
      <c r="D3" s="57"/>
      <c r="E3" s="58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6" ht="24" customHeight="1" x14ac:dyDescent="0.25">
      <c r="B4" s="59">
        <v>1</v>
      </c>
      <c r="C4" s="61" t="s">
        <v>71</v>
      </c>
      <c r="D4" s="62"/>
      <c r="E4" s="63"/>
      <c r="F4" s="7" t="s">
        <v>4</v>
      </c>
      <c r="G4" s="8" t="str">
        <f ca="1">INDIRECT(ADDRESS(27,6))&amp;":"&amp;INDIRECT(ADDRESS(27,7))</f>
        <v>10:8</v>
      </c>
      <c r="H4" s="8" t="str">
        <f ca="1">INDIRECT(ADDRESS(31,7))&amp;":"&amp;INDIRECT(ADDRESS(31,6))</f>
        <v>9:10</v>
      </c>
      <c r="I4" s="8" t="str">
        <f ca="1">INDIRECT(ADDRESS(36,6))&amp;":"&amp;INDIRECT(ADDRESS(36,7))</f>
        <v>13:2</v>
      </c>
      <c r="J4" s="8" t="str">
        <f ca="1">INDIRECT(ADDRESS(42,7))&amp;":"&amp;INDIRECT(ADDRESS(42,6))</f>
        <v>12:11</v>
      </c>
      <c r="K4" s="9" t="str">
        <f ca="1">INDIRECT(ADDRESS(20,6))&amp;":"&amp;INDIRECT(ADDRESS(20,7))</f>
        <v>13:10</v>
      </c>
      <c r="L4" s="67">
        <f ca="1">IF(COUNT(F5:K5)=0,"",COUNTIF(F5:K5,"&gt;0")+0.5*COUNTIF(F5:K5,0))</f>
        <v>4</v>
      </c>
      <c r="M4" s="10"/>
      <c r="N4" s="53">
        <v>1</v>
      </c>
    </row>
    <row r="5" spans="2:16" ht="24" customHeight="1" x14ac:dyDescent="0.25">
      <c r="B5" s="60"/>
      <c r="C5" s="64"/>
      <c r="D5" s="65"/>
      <c r="E5" s="66"/>
      <c r="F5" s="11" t="s">
        <v>4</v>
      </c>
      <c r="G5" s="12">
        <f ca="1">IF(LEN(INDIRECT(ADDRESS(ROW()-1, COLUMN())))=1,"",INDIRECT(ADDRESS(27,6))-INDIRECT(ADDRESS(27,7)))</f>
        <v>2</v>
      </c>
      <c r="H5" s="12">
        <f ca="1">IF(LEN(INDIRECT(ADDRESS(ROW()-1, COLUMN())))=1,"",INDIRECT(ADDRESS(31,7))-INDIRECT(ADDRESS(31,6)))</f>
        <v>-1</v>
      </c>
      <c r="I5" s="12">
        <f ca="1">IF(LEN(INDIRECT(ADDRESS(ROW()-1, COLUMN())))=1,"",INDIRECT(ADDRESS(36,6))-INDIRECT(ADDRESS(36,7)))</f>
        <v>11</v>
      </c>
      <c r="J5" s="12">
        <f ca="1">IF(LEN(INDIRECT(ADDRESS(ROW()-1, COLUMN())))=1,"",INDIRECT(ADDRESS(42,7))-INDIRECT(ADDRESS(42,6)))</f>
        <v>1</v>
      </c>
      <c r="K5" s="13">
        <f ca="1">IF(LEN(INDIRECT(ADDRESS(ROW()-1, COLUMN())))=1,"",INDIRECT(ADDRESS(20,6))-INDIRECT(ADDRESS(20,7)))</f>
        <v>3</v>
      </c>
      <c r="L5" s="68"/>
      <c r="M5" s="12">
        <f ca="1">IF(COUNT(F5:K5)=0,"",SUM(F5:K5))</f>
        <v>16</v>
      </c>
      <c r="N5" s="54"/>
    </row>
    <row r="6" spans="2:16" ht="24" customHeight="1" x14ac:dyDescent="0.25">
      <c r="B6" s="69">
        <v>2</v>
      </c>
      <c r="C6" s="64" t="s">
        <v>72</v>
      </c>
      <c r="D6" s="65"/>
      <c r="E6" s="66"/>
      <c r="F6" s="14" t="str">
        <f ca="1">INDIRECT(ADDRESS(27,7))&amp;":"&amp;INDIRECT(ADDRESS(27,6))</f>
        <v>8:10</v>
      </c>
      <c r="G6" s="15" t="s">
        <v>4</v>
      </c>
      <c r="H6" s="16" t="str">
        <f ca="1">INDIRECT(ADDRESS(37,6))&amp;":"&amp;INDIRECT(ADDRESS(37,7))</f>
        <v>12:9</v>
      </c>
      <c r="I6" s="16" t="str">
        <f ca="1">INDIRECT(ADDRESS(41,7))&amp;":"&amp;INDIRECT(ADDRESS(41,6))</f>
        <v>13:9</v>
      </c>
      <c r="J6" s="16" t="str">
        <f ca="1">INDIRECT(ADDRESS(21,6))&amp;":"&amp;INDIRECT(ADDRESS(21,7))</f>
        <v>13:10</v>
      </c>
      <c r="K6" s="17" t="str">
        <f ca="1">INDIRECT(ADDRESS(30,6))&amp;":"&amp;INDIRECT(ADDRESS(30,7))</f>
        <v>13:5</v>
      </c>
      <c r="L6" s="68">
        <f ca="1">IF(COUNT(F7:K7)=0,"",COUNTIF(F7:K7,"&gt;0")+0.5*COUNTIF(F7:K7,0))</f>
        <v>4</v>
      </c>
      <c r="M6" s="12"/>
      <c r="N6" s="70">
        <v>2</v>
      </c>
    </row>
    <row r="7" spans="2:16" ht="24" customHeight="1" x14ac:dyDescent="0.25">
      <c r="B7" s="60"/>
      <c r="C7" s="64"/>
      <c r="D7" s="65"/>
      <c r="E7" s="66"/>
      <c r="F7" s="18">
        <f ca="1">IF(LEN(INDIRECT(ADDRESS(ROW()-1, COLUMN())))=1,"",INDIRECT(ADDRESS(27,7))-INDIRECT(ADDRESS(27,6)))</f>
        <v>-2</v>
      </c>
      <c r="G7" s="19" t="s">
        <v>4</v>
      </c>
      <c r="H7" s="12">
        <f ca="1">IF(LEN(INDIRECT(ADDRESS(ROW()-1, COLUMN())))=1,"",INDIRECT(ADDRESS(37,6))-INDIRECT(ADDRESS(37,7)))</f>
        <v>3</v>
      </c>
      <c r="I7" s="12">
        <f ca="1">IF(LEN(INDIRECT(ADDRESS(ROW()-1, COLUMN())))=1,"",INDIRECT(ADDRESS(41,7))-INDIRECT(ADDRESS(41,6)))</f>
        <v>4</v>
      </c>
      <c r="J7" s="12">
        <f ca="1">IF(LEN(INDIRECT(ADDRESS(ROW()-1, COLUMN())))=1,"",INDIRECT(ADDRESS(21,6))-INDIRECT(ADDRESS(21,7)))</f>
        <v>3</v>
      </c>
      <c r="K7" s="13">
        <f ca="1">IF(LEN(INDIRECT(ADDRESS(ROW()-1, COLUMN())))=1,"",INDIRECT(ADDRESS(30,6))-INDIRECT(ADDRESS(30,7)))</f>
        <v>8</v>
      </c>
      <c r="L7" s="68"/>
      <c r="M7" s="12">
        <f ca="1">IF(COUNT(F7:K7)=0,"",SUM(F7:K7))</f>
        <v>16</v>
      </c>
      <c r="N7" s="54"/>
    </row>
    <row r="8" spans="2:16" ht="24" customHeight="1" x14ac:dyDescent="0.25">
      <c r="B8" s="69">
        <v>3</v>
      </c>
      <c r="C8" s="71" t="s">
        <v>73</v>
      </c>
      <c r="D8" s="72"/>
      <c r="E8" s="73"/>
      <c r="F8" s="14" t="str">
        <f ca="1">INDIRECT(ADDRESS(31,6))&amp;":"&amp;INDIRECT(ADDRESS(31,7))</f>
        <v>10:9</v>
      </c>
      <c r="G8" s="16" t="str">
        <f ca="1">INDIRECT(ADDRESS(37,7))&amp;":"&amp;INDIRECT(ADDRESS(37,6))</f>
        <v>9:12</v>
      </c>
      <c r="H8" s="15" t="s">
        <v>4</v>
      </c>
      <c r="I8" s="16" t="str">
        <f ca="1">INDIRECT(ADDRESS(22,6))&amp;":"&amp;INDIRECT(ADDRESS(22,7))</f>
        <v>13:1</v>
      </c>
      <c r="J8" s="16" t="str">
        <f ca="1">INDIRECT(ADDRESS(26,7))&amp;":"&amp;INDIRECT(ADDRESS(26,6))</f>
        <v>7:12</v>
      </c>
      <c r="K8" s="17" t="str">
        <f ca="1">INDIRECT(ADDRESS(40,6))&amp;":"&amp;INDIRECT(ADDRESS(40,7))</f>
        <v>10:11</v>
      </c>
      <c r="L8" s="68">
        <f ca="1">IF(COUNT(F9:K9)=0,"",COUNTIF(F9:K9,"&gt;0")+0.5*COUNTIF(F9:K9,0))</f>
        <v>2</v>
      </c>
      <c r="M8" s="12">
        <v>11</v>
      </c>
      <c r="N8" s="70">
        <v>3</v>
      </c>
    </row>
    <row r="9" spans="2:16" ht="24" customHeight="1" x14ac:dyDescent="0.25">
      <c r="B9" s="60"/>
      <c r="C9" s="71"/>
      <c r="D9" s="72"/>
      <c r="E9" s="73"/>
      <c r="F9" s="18">
        <f ca="1">IF(LEN(INDIRECT(ADDRESS(ROW()-1, COLUMN())))=1,"",INDIRECT(ADDRESS(31,6))-INDIRECT(ADDRESS(31,7)))</f>
        <v>1</v>
      </c>
      <c r="G9" s="12">
        <f ca="1">IF(LEN(INDIRECT(ADDRESS(ROW()-1, COLUMN())))=1,"",INDIRECT(ADDRESS(37,7))-INDIRECT(ADDRESS(37,6)))</f>
        <v>-3</v>
      </c>
      <c r="H9" s="19" t="s">
        <v>4</v>
      </c>
      <c r="I9" s="12">
        <f ca="1">IF(LEN(INDIRECT(ADDRESS(ROW()-1, COLUMN())))=1,"",INDIRECT(ADDRESS(22,6))-INDIRECT(ADDRESS(22,7)))</f>
        <v>12</v>
      </c>
      <c r="J9" s="12">
        <f ca="1">IF(LEN(INDIRECT(ADDRESS(ROW()-1, COLUMN())))=1,"",INDIRECT(ADDRESS(26,7))-INDIRECT(ADDRESS(26,6)))</f>
        <v>-5</v>
      </c>
      <c r="K9" s="13">
        <f ca="1">IF(LEN(INDIRECT(ADDRESS(ROW()-1, COLUMN())))=1,"",INDIRECT(ADDRESS(40,6))-INDIRECT(ADDRESS(40,7)))</f>
        <v>-1</v>
      </c>
      <c r="L9" s="68"/>
      <c r="M9" s="12">
        <f ca="1">IF(COUNT(F9:K9)=0,"",SUM(F9:K9))</f>
        <v>4</v>
      </c>
      <c r="N9" s="54"/>
    </row>
    <row r="10" spans="2:16" ht="24" customHeight="1" x14ac:dyDescent="0.25">
      <c r="B10" s="69">
        <v>4</v>
      </c>
      <c r="C10" s="79" t="s">
        <v>74</v>
      </c>
      <c r="D10" s="80"/>
      <c r="E10" s="81"/>
      <c r="F10" s="14" t="str">
        <f ca="1">INDIRECT(ADDRESS(36,7))&amp;":"&amp;INDIRECT(ADDRESS(36,6))</f>
        <v>2:13</v>
      </c>
      <c r="G10" s="16" t="str">
        <f ca="1">INDIRECT(ADDRESS(41,6))&amp;":"&amp;INDIRECT(ADDRESS(41,7))</f>
        <v>9:13</v>
      </c>
      <c r="H10" s="16" t="str">
        <f ca="1">INDIRECT(ADDRESS(22,7))&amp;":"&amp;INDIRECT(ADDRESS(22,6))</f>
        <v>1:13</v>
      </c>
      <c r="I10" s="15" t="s">
        <v>4</v>
      </c>
      <c r="J10" s="16" t="str">
        <f ca="1">INDIRECT(ADDRESS(32,6))&amp;":"&amp;INDIRECT(ADDRESS(32,7))</f>
        <v>13:12</v>
      </c>
      <c r="K10" s="17" t="str">
        <f ca="1">INDIRECT(ADDRESS(25,7))&amp;":"&amp;INDIRECT(ADDRESS(25,6))</f>
        <v>13:9</v>
      </c>
      <c r="L10" s="68">
        <f ca="1">IF(COUNT(F11:K11)=0,"",COUNTIF(F11:K11,"&gt;0")+0.5*COUNTIF(F11:K11,0))</f>
        <v>2</v>
      </c>
      <c r="M10" s="12">
        <v>-8</v>
      </c>
      <c r="N10" s="70">
        <v>5</v>
      </c>
      <c r="P10" t="s">
        <v>93</v>
      </c>
    </row>
    <row r="11" spans="2:16" ht="24" customHeight="1" x14ac:dyDescent="0.25">
      <c r="B11" s="60"/>
      <c r="C11" s="79"/>
      <c r="D11" s="80"/>
      <c r="E11" s="81"/>
      <c r="F11" s="18">
        <f ca="1">IF(LEN(INDIRECT(ADDRESS(ROW()-1, COLUMN())))=1,"",INDIRECT(ADDRESS(36,7))-INDIRECT(ADDRESS(36,6)))</f>
        <v>-11</v>
      </c>
      <c r="G11" s="12">
        <f ca="1">IF(LEN(INDIRECT(ADDRESS(ROW()-1, COLUMN())))=1,"",INDIRECT(ADDRESS(41,6))-INDIRECT(ADDRESS(41,7)))</f>
        <v>-4</v>
      </c>
      <c r="H11" s="12">
        <f ca="1">IF(LEN(INDIRECT(ADDRESS(ROW()-1, COLUMN())))=1,"",INDIRECT(ADDRESS(22,7))-INDIRECT(ADDRESS(22,6)))</f>
        <v>-12</v>
      </c>
      <c r="I11" s="19" t="s">
        <v>4</v>
      </c>
      <c r="J11" s="12">
        <f ca="1">IF(LEN(INDIRECT(ADDRESS(ROW()-1, COLUMN())))=1,"",INDIRECT(ADDRESS(32,6))-INDIRECT(ADDRESS(32,7)))</f>
        <v>1</v>
      </c>
      <c r="K11" s="13">
        <f ca="1">IF(LEN(INDIRECT(ADDRESS(ROW()-1, COLUMN())))=1,"",INDIRECT(ADDRESS(25,7))-INDIRECT(ADDRESS(25,6)))</f>
        <v>4</v>
      </c>
      <c r="L11" s="68"/>
      <c r="M11" s="12">
        <f ca="1">IF(COUNT(F11:K11)=0,"",SUM(F11:K11))</f>
        <v>-22</v>
      </c>
      <c r="N11" s="54"/>
    </row>
    <row r="12" spans="2:16" ht="24" customHeight="1" x14ac:dyDescent="0.25">
      <c r="B12" s="69">
        <v>5</v>
      </c>
      <c r="C12" s="79" t="s">
        <v>75</v>
      </c>
      <c r="D12" s="80"/>
      <c r="E12" s="81"/>
      <c r="F12" s="14" t="str">
        <f ca="1">INDIRECT(ADDRESS(42,6))&amp;":"&amp;INDIRECT(ADDRESS(42,7))</f>
        <v>11:12</v>
      </c>
      <c r="G12" s="16" t="str">
        <f ca="1">INDIRECT(ADDRESS(21,7))&amp;":"&amp;INDIRECT(ADDRESS(21,6))</f>
        <v>10:13</v>
      </c>
      <c r="H12" s="16" t="str">
        <f ca="1">INDIRECT(ADDRESS(26,6))&amp;":"&amp;INDIRECT(ADDRESS(26,7))</f>
        <v>12:7</v>
      </c>
      <c r="I12" s="16" t="str">
        <f ca="1">INDIRECT(ADDRESS(32,7))&amp;":"&amp;INDIRECT(ADDRESS(32,6))</f>
        <v>12:13</v>
      </c>
      <c r="J12" s="15" t="s">
        <v>4</v>
      </c>
      <c r="K12" s="17" t="str">
        <f ca="1">INDIRECT(ADDRESS(35,7))&amp;":"&amp;INDIRECT(ADDRESS(35,6))</f>
        <v>5:13</v>
      </c>
      <c r="L12" s="68">
        <f ca="1">IF(COUNT(F13:K13)=0,"",COUNTIF(F13:K13,"&gt;0")+0.5*COUNTIF(F13:K13,0))</f>
        <v>1</v>
      </c>
      <c r="M12" s="12"/>
      <c r="N12" s="70">
        <v>6</v>
      </c>
    </row>
    <row r="13" spans="2:16" ht="24" customHeight="1" x14ac:dyDescent="0.25">
      <c r="B13" s="60"/>
      <c r="C13" s="79"/>
      <c r="D13" s="80"/>
      <c r="E13" s="81"/>
      <c r="F13" s="18">
        <f ca="1">IF(LEN(INDIRECT(ADDRESS(ROW()-1, COLUMN())))=1,"",INDIRECT(ADDRESS(42,6))-INDIRECT(ADDRESS(42,7)))</f>
        <v>-1</v>
      </c>
      <c r="G13" s="12">
        <f ca="1">IF(LEN(INDIRECT(ADDRESS(ROW()-1, COLUMN())))=1,"",INDIRECT(ADDRESS(21,7))-INDIRECT(ADDRESS(21,6)))</f>
        <v>-3</v>
      </c>
      <c r="H13" s="12">
        <f ca="1">IF(LEN(INDIRECT(ADDRESS(ROW()-1, COLUMN())))=1,"",INDIRECT(ADDRESS(26,6))-INDIRECT(ADDRESS(26,7)))</f>
        <v>5</v>
      </c>
      <c r="I13" s="12">
        <f ca="1">IF(LEN(INDIRECT(ADDRESS(ROW()-1, COLUMN())))=1,"",INDIRECT(ADDRESS(32,7))-INDIRECT(ADDRESS(32,6)))</f>
        <v>-1</v>
      </c>
      <c r="J13" s="19" t="s">
        <v>4</v>
      </c>
      <c r="K13" s="13">
        <f ca="1">IF(LEN(INDIRECT(ADDRESS(ROW()-1, COLUMN())))=1,"",INDIRECT(ADDRESS(35,7))-INDIRECT(ADDRESS(35,6)))</f>
        <v>-8</v>
      </c>
      <c r="L13" s="68"/>
      <c r="M13" s="12">
        <f ca="1">IF(COUNT(F13:K13)=0,"",SUM(F13:K13))</f>
        <v>-8</v>
      </c>
      <c r="N13" s="54"/>
    </row>
    <row r="14" spans="2:16" ht="24" customHeight="1" x14ac:dyDescent="0.25">
      <c r="B14" s="69">
        <v>6</v>
      </c>
      <c r="C14" s="71" t="s">
        <v>76</v>
      </c>
      <c r="D14" s="72"/>
      <c r="E14" s="73"/>
      <c r="F14" s="14" t="str">
        <f ca="1">INDIRECT(ADDRESS(20,7))&amp;":"&amp;INDIRECT(ADDRESS(20,6))</f>
        <v>10:13</v>
      </c>
      <c r="G14" s="16" t="str">
        <f ca="1">INDIRECT(ADDRESS(30,7))&amp;":"&amp;INDIRECT(ADDRESS(30,6))</f>
        <v>5:13</v>
      </c>
      <c r="H14" s="16" t="str">
        <f ca="1">INDIRECT(ADDRESS(40,7))&amp;":"&amp;INDIRECT(ADDRESS(40,6))</f>
        <v>11:10</v>
      </c>
      <c r="I14" s="16" t="str">
        <f ca="1">INDIRECT(ADDRESS(25,6))&amp;":"&amp;INDIRECT(ADDRESS(25,7))</f>
        <v>9:13</v>
      </c>
      <c r="J14" s="16" t="str">
        <f ca="1">INDIRECT(ADDRESS(35,6))&amp;":"&amp;INDIRECT(ADDRESS(35,7))</f>
        <v>13:5</v>
      </c>
      <c r="K14" s="20" t="s">
        <v>4</v>
      </c>
      <c r="L14" s="68">
        <f ca="1">IF(COUNT(F15:K15)=0,"",COUNTIF(F15:K15,"&gt;0")+0.5*COUNTIF(F15:K15,0))</f>
        <v>2</v>
      </c>
      <c r="M14" s="12">
        <v>-3</v>
      </c>
      <c r="N14" s="70">
        <v>4</v>
      </c>
    </row>
    <row r="15" spans="2:16" ht="24" customHeight="1" thickBot="1" x14ac:dyDescent="0.3">
      <c r="B15" s="82"/>
      <c r="C15" s="83"/>
      <c r="D15" s="84"/>
      <c r="E15" s="85"/>
      <c r="F15" s="21">
        <f ca="1">IF(LEN(INDIRECT(ADDRESS(ROW()-1, COLUMN())))=1,"",INDIRECT(ADDRESS(20,7))-INDIRECT(ADDRESS(20,6)))</f>
        <v>-3</v>
      </c>
      <c r="G15" s="22">
        <f ca="1">IF(LEN(INDIRECT(ADDRESS(ROW()-1, COLUMN())))=1,"",INDIRECT(ADDRESS(30,7))-INDIRECT(ADDRESS(30,6)))</f>
        <v>-8</v>
      </c>
      <c r="H15" s="22">
        <f ca="1">IF(LEN(INDIRECT(ADDRESS(ROW()-1, COLUMN())))=1,"",INDIRECT(ADDRESS(40,7))-INDIRECT(ADDRESS(40,6)))</f>
        <v>1</v>
      </c>
      <c r="I15" s="22">
        <f ca="1">IF(LEN(INDIRECT(ADDRESS(ROW()-1, COLUMN())))=1,"",INDIRECT(ADDRESS(25,6))-INDIRECT(ADDRESS(25,7)))</f>
        <v>-4</v>
      </c>
      <c r="J15" s="22">
        <f ca="1">IF(LEN(INDIRECT(ADDRESS(ROW()-1, COLUMN())))=1,"",INDIRECT(ADDRESS(35,6))-INDIRECT(ADDRESS(35,7)))</f>
        <v>8</v>
      </c>
      <c r="K15" s="23" t="s">
        <v>4</v>
      </c>
      <c r="L15" s="86"/>
      <c r="M15" s="22">
        <f ca="1">IF(COUNT(F15:K15)=0,"",SUM(F15:K15))</f>
        <v>-6</v>
      </c>
      <c r="N15" s="74"/>
    </row>
    <row r="19" spans="1:13" s="26" customFormat="1" ht="30" customHeight="1" thickBot="1" x14ac:dyDescent="0.4">
      <c r="A19" s="24"/>
      <c r="B19" s="75" t="s">
        <v>5</v>
      </c>
      <c r="C19" s="75"/>
      <c r="D19" s="75"/>
      <c r="E19" s="75"/>
      <c r="F19" s="75"/>
      <c r="G19" s="75"/>
      <c r="H19" s="75"/>
      <c r="I19" s="75"/>
      <c r="J19" s="75"/>
      <c r="K19" s="75"/>
    </row>
    <row r="20" spans="1:13" s="26" customFormat="1" ht="30" customHeight="1" thickBot="1" x14ac:dyDescent="0.4">
      <c r="A20" s="24"/>
      <c r="B20" s="27">
        <v>1</v>
      </c>
      <c r="C20" s="76" t="str">
        <f ca="1">IF(ISBLANK(INDIRECT(ADDRESS(B20*2+2,3))),"",INDIRECT(ADDRESS(B20*2+2,3)))</f>
        <v>Алкина</v>
      </c>
      <c r="D20" s="76"/>
      <c r="E20" s="77"/>
      <c r="F20" s="28">
        <v>13</v>
      </c>
      <c r="G20" s="29">
        <v>10</v>
      </c>
      <c r="H20" s="78" t="str">
        <f ca="1">IF(ISBLANK(INDIRECT(ADDRESS(K20*2+2,3))),"",INDIRECT(ADDRESS(K20*2+2,3)))</f>
        <v>Крылова</v>
      </c>
      <c r="I20" s="76"/>
      <c r="J20" s="76"/>
      <c r="K20" s="27">
        <v>6</v>
      </c>
      <c r="L20" s="30" t="s">
        <v>6</v>
      </c>
      <c r="M20" s="25">
        <v>1</v>
      </c>
    </row>
    <row r="21" spans="1:13" s="26" customFormat="1" ht="30" customHeight="1" thickBot="1" x14ac:dyDescent="0.4">
      <c r="A21" s="24"/>
      <c r="B21" s="27">
        <v>2</v>
      </c>
      <c r="C21" s="76" t="str">
        <f ca="1">IF(ISBLANK(INDIRECT(ADDRESS(B21*2+2,3))),"",INDIRECT(ADDRESS(B21*2+2,3)))</f>
        <v>Орлова</v>
      </c>
      <c r="D21" s="76"/>
      <c r="E21" s="77"/>
      <c r="F21" s="28">
        <v>13</v>
      </c>
      <c r="G21" s="29">
        <v>10</v>
      </c>
      <c r="H21" s="78" t="str">
        <f ca="1">IF(ISBLANK(INDIRECT(ADDRESS(K21*2+2,3))),"",INDIRECT(ADDRESS(K21*2+2,3)))</f>
        <v>Сафонова</v>
      </c>
      <c r="I21" s="76"/>
      <c r="J21" s="76"/>
      <c r="K21" s="27">
        <v>5</v>
      </c>
      <c r="L21" s="30" t="s">
        <v>6</v>
      </c>
      <c r="M21" s="25">
        <v>2</v>
      </c>
    </row>
    <row r="22" spans="1:13" s="26" customFormat="1" ht="30" customHeight="1" thickBot="1" x14ac:dyDescent="0.4">
      <c r="A22" s="24"/>
      <c r="B22" s="27">
        <v>3</v>
      </c>
      <c r="C22" s="76" t="str">
        <f ca="1">IF(ISBLANK(INDIRECT(ADDRESS(B22*2+2,3))),"",INDIRECT(ADDRESS(B22*2+2,3)))</f>
        <v>Лукьянова</v>
      </c>
      <c r="D22" s="76"/>
      <c r="E22" s="77"/>
      <c r="F22" s="28">
        <v>13</v>
      </c>
      <c r="G22" s="29">
        <v>1</v>
      </c>
      <c r="H22" s="78" t="str">
        <f ca="1">IF(ISBLANK(INDIRECT(ADDRESS(K22*2+2,3))),"",INDIRECT(ADDRESS(K22*2+2,3)))</f>
        <v>Пелевина</v>
      </c>
      <c r="I22" s="76"/>
      <c r="J22" s="76"/>
      <c r="K22" s="27">
        <v>4</v>
      </c>
      <c r="L22" s="30" t="s">
        <v>6</v>
      </c>
      <c r="M22" s="25">
        <v>3</v>
      </c>
    </row>
    <row r="23" spans="1:13" s="26" customFormat="1" ht="30" customHeight="1" x14ac:dyDescent="0.35">
      <c r="A23" s="24"/>
      <c r="M23" s="31"/>
    </row>
    <row r="24" spans="1:13" s="26" customFormat="1" ht="30" customHeight="1" thickBot="1" x14ac:dyDescent="0.4">
      <c r="A24" s="24"/>
      <c r="B24" s="75" t="s">
        <v>7</v>
      </c>
      <c r="C24" s="75"/>
      <c r="D24" s="75"/>
      <c r="E24" s="75"/>
      <c r="F24" s="75"/>
      <c r="G24" s="75"/>
      <c r="H24" s="75"/>
      <c r="I24" s="75"/>
      <c r="J24" s="75"/>
      <c r="K24" s="75"/>
      <c r="M24" s="31"/>
    </row>
    <row r="25" spans="1:13" s="26" customFormat="1" ht="30" customHeight="1" thickBot="1" x14ac:dyDescent="0.4">
      <c r="A25" s="24"/>
      <c r="B25" s="27">
        <v>6</v>
      </c>
      <c r="C25" s="76" t="str">
        <f ca="1">IF(ISBLANK(INDIRECT(ADDRESS(B25*2+2,3))),"",INDIRECT(ADDRESS(B25*2+2,3)))</f>
        <v>Крылова</v>
      </c>
      <c r="D25" s="76"/>
      <c r="E25" s="77"/>
      <c r="F25" s="28">
        <v>9</v>
      </c>
      <c r="G25" s="29">
        <v>13</v>
      </c>
      <c r="H25" s="78" t="str">
        <f ca="1">IF(ISBLANK(INDIRECT(ADDRESS(K25*2+2,3))),"",INDIRECT(ADDRESS(K25*2+2,3)))</f>
        <v>Пелевина</v>
      </c>
      <c r="I25" s="76"/>
      <c r="J25" s="76"/>
      <c r="K25" s="27">
        <v>4</v>
      </c>
      <c r="L25" s="30" t="s">
        <v>6</v>
      </c>
      <c r="M25" s="25">
        <v>5</v>
      </c>
    </row>
    <row r="26" spans="1:13" s="26" customFormat="1" ht="30" customHeight="1" thickBot="1" x14ac:dyDescent="0.4">
      <c r="A26" s="24"/>
      <c r="B26" s="27">
        <v>5</v>
      </c>
      <c r="C26" s="76" t="str">
        <f ca="1">IF(ISBLANK(INDIRECT(ADDRESS(B26*2+2,3))),"",INDIRECT(ADDRESS(B26*2+2,3)))</f>
        <v>Сафонова</v>
      </c>
      <c r="D26" s="76"/>
      <c r="E26" s="77"/>
      <c r="F26" s="28">
        <v>12</v>
      </c>
      <c r="G26" s="29">
        <v>7</v>
      </c>
      <c r="H26" s="78" t="str">
        <f ca="1">IF(ISBLANK(INDIRECT(ADDRESS(K26*2+2,3))),"",INDIRECT(ADDRESS(K26*2+2,3)))</f>
        <v>Лукьянова</v>
      </c>
      <c r="I26" s="76"/>
      <c r="J26" s="76"/>
      <c r="K26" s="27">
        <v>3</v>
      </c>
      <c r="L26" s="30" t="s">
        <v>6</v>
      </c>
      <c r="M26" s="25">
        <v>6</v>
      </c>
    </row>
    <row r="27" spans="1:13" s="26" customFormat="1" ht="30" customHeight="1" thickBot="1" x14ac:dyDescent="0.4">
      <c r="A27" s="24"/>
      <c r="B27" s="27">
        <v>1</v>
      </c>
      <c r="C27" s="76" t="str">
        <f ca="1">IF(ISBLANK(INDIRECT(ADDRESS(B27*2+2,3))),"",INDIRECT(ADDRESS(B27*2+2,3)))</f>
        <v>Алкина</v>
      </c>
      <c r="D27" s="76"/>
      <c r="E27" s="77"/>
      <c r="F27" s="28">
        <v>10</v>
      </c>
      <c r="G27" s="29">
        <v>8</v>
      </c>
      <c r="H27" s="78" t="str">
        <f ca="1">IF(ISBLANK(INDIRECT(ADDRESS(K27*2+2,3))),"",INDIRECT(ADDRESS(K27*2+2,3)))</f>
        <v>Орлова</v>
      </c>
      <c r="I27" s="76"/>
      <c r="J27" s="76"/>
      <c r="K27" s="27">
        <v>2</v>
      </c>
      <c r="L27" s="30" t="s">
        <v>6</v>
      </c>
      <c r="M27" s="25">
        <v>4</v>
      </c>
    </row>
    <row r="28" spans="1:13" s="26" customFormat="1" ht="30" customHeight="1" x14ac:dyDescent="0.35">
      <c r="A28" s="24"/>
      <c r="M28" s="31"/>
    </row>
    <row r="29" spans="1:13" s="26" customFormat="1" ht="30" customHeight="1" thickBot="1" x14ac:dyDescent="0.4">
      <c r="A29" s="24"/>
      <c r="B29" s="75" t="s">
        <v>8</v>
      </c>
      <c r="C29" s="75"/>
      <c r="D29" s="75"/>
      <c r="E29" s="75"/>
      <c r="F29" s="75"/>
      <c r="G29" s="75"/>
      <c r="H29" s="75"/>
      <c r="I29" s="75"/>
      <c r="J29" s="75"/>
      <c r="K29" s="75"/>
      <c r="M29" s="31"/>
    </row>
    <row r="30" spans="1:13" s="26" customFormat="1" ht="30" customHeight="1" thickBot="1" x14ac:dyDescent="0.4">
      <c r="A30" s="24"/>
      <c r="B30" s="27">
        <v>2</v>
      </c>
      <c r="C30" s="76" t="str">
        <f ca="1">IF(ISBLANK(INDIRECT(ADDRESS(B30*2+2,3))),"",INDIRECT(ADDRESS(B30*2+2,3)))</f>
        <v>Орлова</v>
      </c>
      <c r="D30" s="76"/>
      <c r="E30" s="77"/>
      <c r="F30" s="28">
        <v>13</v>
      </c>
      <c r="G30" s="29">
        <v>5</v>
      </c>
      <c r="H30" s="78" t="str">
        <f ca="1">IF(ISBLANK(INDIRECT(ADDRESS(K30*2+2,3))),"",INDIRECT(ADDRESS(K30*2+2,3)))</f>
        <v>Крылова</v>
      </c>
      <c r="I30" s="76"/>
      <c r="J30" s="76"/>
      <c r="K30" s="27">
        <v>6</v>
      </c>
      <c r="L30" s="30" t="s">
        <v>6</v>
      </c>
      <c r="M30" s="25">
        <v>7</v>
      </c>
    </row>
    <row r="31" spans="1:13" s="26" customFormat="1" ht="30" customHeight="1" thickBot="1" x14ac:dyDescent="0.4">
      <c r="A31" s="24"/>
      <c r="B31" s="27">
        <v>3</v>
      </c>
      <c r="C31" s="76" t="str">
        <f ca="1">IF(ISBLANK(INDIRECT(ADDRESS(B31*2+2,3))),"",INDIRECT(ADDRESS(B31*2+2,3)))</f>
        <v>Лукьянова</v>
      </c>
      <c r="D31" s="76"/>
      <c r="E31" s="77"/>
      <c r="F31" s="28">
        <v>10</v>
      </c>
      <c r="G31" s="29">
        <v>9</v>
      </c>
      <c r="H31" s="78" t="str">
        <f ca="1">IF(ISBLANK(INDIRECT(ADDRESS(K31*2+2,3))),"",INDIRECT(ADDRESS(K31*2+2,3)))</f>
        <v>Алкина</v>
      </c>
      <c r="I31" s="76"/>
      <c r="J31" s="76"/>
      <c r="K31" s="27">
        <v>1</v>
      </c>
      <c r="L31" s="30" t="s">
        <v>6</v>
      </c>
      <c r="M31" s="25">
        <v>8</v>
      </c>
    </row>
    <row r="32" spans="1:13" s="26" customFormat="1" ht="30" customHeight="1" thickBot="1" x14ac:dyDescent="0.4">
      <c r="A32" s="24"/>
      <c r="B32" s="27">
        <v>4</v>
      </c>
      <c r="C32" s="76" t="str">
        <f ca="1">IF(ISBLANK(INDIRECT(ADDRESS(B32*2+2,3))),"",INDIRECT(ADDRESS(B32*2+2,3)))</f>
        <v>Пелевина</v>
      </c>
      <c r="D32" s="76"/>
      <c r="E32" s="77"/>
      <c r="F32" s="28">
        <v>13</v>
      </c>
      <c r="G32" s="29">
        <v>12</v>
      </c>
      <c r="H32" s="78" t="str">
        <f ca="1">IF(ISBLANK(INDIRECT(ADDRESS(K32*2+2,3))),"",INDIRECT(ADDRESS(K32*2+2,3)))</f>
        <v>Сафонова</v>
      </c>
      <c r="I32" s="76"/>
      <c r="J32" s="76"/>
      <c r="K32" s="27">
        <v>5</v>
      </c>
      <c r="L32" s="30" t="s">
        <v>6</v>
      </c>
      <c r="M32" s="25">
        <v>9</v>
      </c>
    </row>
    <row r="33" spans="1:13" s="26" customFormat="1" ht="30" customHeight="1" x14ac:dyDescent="0.35">
      <c r="A33" s="24"/>
      <c r="M33" s="31"/>
    </row>
    <row r="34" spans="1:13" s="26" customFormat="1" ht="30" customHeight="1" thickBot="1" x14ac:dyDescent="0.4">
      <c r="A34" s="24"/>
      <c r="B34" s="75" t="s">
        <v>9</v>
      </c>
      <c r="C34" s="75"/>
      <c r="D34" s="75"/>
      <c r="E34" s="75"/>
      <c r="F34" s="75"/>
      <c r="G34" s="75"/>
      <c r="H34" s="75"/>
      <c r="I34" s="75"/>
      <c r="J34" s="75"/>
      <c r="K34" s="75"/>
      <c r="M34" s="31"/>
    </row>
    <row r="35" spans="1:13" s="26" customFormat="1" ht="30" customHeight="1" thickBot="1" x14ac:dyDescent="0.4">
      <c r="A35" s="24"/>
      <c r="B35" s="27">
        <v>6</v>
      </c>
      <c r="C35" s="76" t="str">
        <f ca="1">IF(ISBLANK(INDIRECT(ADDRESS(B35*2+2,3))),"",INDIRECT(ADDRESS(B35*2+2,3)))</f>
        <v>Крылова</v>
      </c>
      <c r="D35" s="76"/>
      <c r="E35" s="77"/>
      <c r="F35" s="28">
        <v>13</v>
      </c>
      <c r="G35" s="29">
        <v>5</v>
      </c>
      <c r="H35" s="78" t="str">
        <f ca="1">IF(ISBLANK(INDIRECT(ADDRESS(K35*2+2,3))),"",INDIRECT(ADDRESS(K35*2+2,3)))</f>
        <v>Сафонова</v>
      </c>
      <c r="I35" s="76"/>
      <c r="J35" s="76"/>
      <c r="K35" s="27">
        <v>5</v>
      </c>
      <c r="L35" s="30" t="s">
        <v>6</v>
      </c>
      <c r="M35" s="25">
        <v>1</v>
      </c>
    </row>
    <row r="36" spans="1:13" s="26" customFormat="1" ht="30" customHeight="1" thickBot="1" x14ac:dyDescent="0.4">
      <c r="A36" s="24"/>
      <c r="B36" s="27">
        <v>1</v>
      </c>
      <c r="C36" s="76" t="str">
        <f ca="1">IF(ISBLANK(INDIRECT(ADDRESS(B36*2+2,3))),"",INDIRECT(ADDRESS(B36*2+2,3)))</f>
        <v>Алкина</v>
      </c>
      <c r="D36" s="76"/>
      <c r="E36" s="77"/>
      <c r="F36" s="28">
        <v>13</v>
      </c>
      <c r="G36" s="29">
        <v>2</v>
      </c>
      <c r="H36" s="78" t="str">
        <f ca="1">IF(ISBLANK(INDIRECT(ADDRESS(K36*2+2,3))),"",INDIRECT(ADDRESS(K36*2+2,3)))</f>
        <v>Пелевина</v>
      </c>
      <c r="I36" s="76"/>
      <c r="J36" s="76"/>
      <c r="K36" s="27">
        <v>4</v>
      </c>
      <c r="L36" s="30" t="s">
        <v>6</v>
      </c>
      <c r="M36" s="25">
        <v>2</v>
      </c>
    </row>
    <row r="37" spans="1:13" s="26" customFormat="1" ht="30" customHeight="1" thickBot="1" x14ac:dyDescent="0.4">
      <c r="A37" s="24"/>
      <c r="B37" s="27">
        <v>2</v>
      </c>
      <c r="C37" s="76" t="str">
        <f ca="1">IF(ISBLANK(INDIRECT(ADDRESS(B37*2+2,3))),"",INDIRECT(ADDRESS(B37*2+2,3)))</f>
        <v>Орлова</v>
      </c>
      <c r="D37" s="76"/>
      <c r="E37" s="77"/>
      <c r="F37" s="28">
        <v>12</v>
      </c>
      <c r="G37" s="29">
        <v>9</v>
      </c>
      <c r="H37" s="78" t="str">
        <f ca="1">IF(ISBLANK(INDIRECT(ADDRESS(K37*2+2,3))),"",INDIRECT(ADDRESS(K37*2+2,3)))</f>
        <v>Лукьянова</v>
      </c>
      <c r="I37" s="76"/>
      <c r="J37" s="76"/>
      <c r="K37" s="27">
        <v>3</v>
      </c>
      <c r="L37" s="30" t="s">
        <v>6</v>
      </c>
      <c r="M37" s="25">
        <v>10</v>
      </c>
    </row>
    <row r="38" spans="1:13" s="26" customFormat="1" ht="30" customHeight="1" x14ac:dyDescent="0.35">
      <c r="A38" s="24"/>
      <c r="M38" s="31"/>
    </row>
    <row r="39" spans="1:13" s="26" customFormat="1" ht="30" customHeight="1" thickBot="1" x14ac:dyDescent="0.4">
      <c r="A39" s="24"/>
      <c r="B39" s="75" t="s">
        <v>10</v>
      </c>
      <c r="C39" s="75"/>
      <c r="D39" s="75"/>
      <c r="E39" s="75"/>
      <c r="F39" s="75"/>
      <c r="G39" s="75"/>
      <c r="H39" s="75"/>
      <c r="I39" s="75"/>
      <c r="J39" s="75"/>
      <c r="K39" s="75"/>
      <c r="M39" s="31"/>
    </row>
    <row r="40" spans="1:13" s="26" customFormat="1" ht="30" customHeight="1" thickBot="1" x14ac:dyDescent="0.4">
      <c r="A40" s="24"/>
      <c r="B40" s="27">
        <v>3</v>
      </c>
      <c r="C40" s="76" t="str">
        <f ca="1">IF(ISBLANK(INDIRECT(ADDRESS(B40*2+2,3))),"",INDIRECT(ADDRESS(B40*2+2,3)))</f>
        <v>Лукьянова</v>
      </c>
      <c r="D40" s="76"/>
      <c r="E40" s="77"/>
      <c r="F40" s="28">
        <v>10</v>
      </c>
      <c r="G40" s="29">
        <v>11</v>
      </c>
      <c r="H40" s="78" t="str">
        <f ca="1">IF(ISBLANK(INDIRECT(ADDRESS(K40*2+2,3))),"",INDIRECT(ADDRESS(K40*2+2,3)))</f>
        <v>Крылова</v>
      </c>
      <c r="I40" s="76"/>
      <c r="J40" s="76"/>
      <c r="K40" s="27">
        <v>6</v>
      </c>
      <c r="L40" s="30" t="s">
        <v>6</v>
      </c>
      <c r="M40" s="25">
        <v>3</v>
      </c>
    </row>
    <row r="41" spans="1:13" s="26" customFormat="1" ht="30" customHeight="1" thickBot="1" x14ac:dyDescent="0.4">
      <c r="A41" s="24"/>
      <c r="B41" s="27">
        <v>4</v>
      </c>
      <c r="C41" s="76" t="str">
        <f ca="1">IF(ISBLANK(INDIRECT(ADDRESS(B41*2+2,3))),"",INDIRECT(ADDRESS(B41*2+2,3)))</f>
        <v>Пелевина</v>
      </c>
      <c r="D41" s="76"/>
      <c r="E41" s="77"/>
      <c r="F41" s="28">
        <v>9</v>
      </c>
      <c r="G41" s="29">
        <v>13</v>
      </c>
      <c r="H41" s="78" t="str">
        <f ca="1">IF(ISBLANK(INDIRECT(ADDRESS(K41*2+2,3))),"",INDIRECT(ADDRESS(K41*2+2,3)))</f>
        <v>Орлова</v>
      </c>
      <c r="I41" s="76"/>
      <c r="J41" s="76"/>
      <c r="K41" s="27">
        <v>2</v>
      </c>
      <c r="L41" s="30" t="s">
        <v>6</v>
      </c>
      <c r="M41" s="25">
        <v>4</v>
      </c>
    </row>
    <row r="42" spans="1:13" s="26" customFormat="1" ht="30" customHeight="1" thickBot="1" x14ac:dyDescent="0.4">
      <c r="A42" s="24"/>
      <c r="B42" s="27">
        <v>5</v>
      </c>
      <c r="C42" s="76" t="str">
        <f ca="1">IF(ISBLANK(INDIRECT(ADDRESS(B42*2+2,3))),"",INDIRECT(ADDRESS(B42*2+2,3)))</f>
        <v>Сафонова</v>
      </c>
      <c r="D42" s="76"/>
      <c r="E42" s="77"/>
      <c r="F42" s="28">
        <v>11</v>
      </c>
      <c r="G42" s="29">
        <v>12</v>
      </c>
      <c r="H42" s="78" t="str">
        <f ca="1">IF(ISBLANK(INDIRECT(ADDRESS(K42*2+2,3))),"",INDIRECT(ADDRESS(K42*2+2,3)))</f>
        <v>Алкина</v>
      </c>
      <c r="I42" s="76"/>
      <c r="J42" s="76"/>
      <c r="K42" s="27">
        <v>1</v>
      </c>
      <c r="L42" s="30" t="s">
        <v>6</v>
      </c>
      <c r="M42" s="25">
        <v>5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25" right="0.25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workbookViewId="0">
      <selection activeCell="B19" sqref="B19:K19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4" ht="38.25" customHeight="1" x14ac:dyDescent="0.25">
      <c r="B1" s="55" t="s">
        <v>13</v>
      </c>
      <c r="C1" s="55"/>
      <c r="D1" s="55"/>
      <c r="E1" s="55"/>
      <c r="F1" s="55"/>
      <c r="G1" s="55"/>
      <c r="H1" s="55"/>
      <c r="I1" s="55"/>
      <c r="J1" s="55"/>
      <c r="K1" s="55"/>
      <c r="L1" t="s">
        <v>12</v>
      </c>
      <c r="N1" s="32">
        <v>45318</v>
      </c>
    </row>
    <row r="2" spans="2:14" ht="15.75" thickBot="1" x14ac:dyDescent="0.3"/>
    <row r="3" spans="2:14" ht="30" customHeight="1" thickBot="1" x14ac:dyDescent="0.3">
      <c r="B3" s="2"/>
      <c r="C3" s="56" t="s">
        <v>0</v>
      </c>
      <c r="D3" s="57"/>
      <c r="E3" s="58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ht="24" customHeight="1" x14ac:dyDescent="0.25">
      <c r="B4" s="59">
        <v>1</v>
      </c>
      <c r="C4" s="61" t="s">
        <v>77</v>
      </c>
      <c r="D4" s="62"/>
      <c r="E4" s="63"/>
      <c r="F4" s="7" t="s">
        <v>4</v>
      </c>
      <c r="G4" s="8" t="str">
        <f ca="1">INDIRECT(ADDRESS(27,6))&amp;":"&amp;INDIRECT(ADDRESS(27,7))</f>
        <v>6:13</v>
      </c>
      <c r="H4" s="8" t="str">
        <f ca="1">INDIRECT(ADDRESS(31,7))&amp;":"&amp;INDIRECT(ADDRESS(31,6))</f>
        <v>12:11</v>
      </c>
      <c r="I4" s="8" t="str">
        <f ca="1">INDIRECT(ADDRESS(36,6))&amp;":"&amp;INDIRECT(ADDRESS(36,7))</f>
        <v>13:4</v>
      </c>
      <c r="J4" s="8" t="str">
        <f ca="1">INDIRECT(ADDRESS(42,7))&amp;":"&amp;INDIRECT(ADDRESS(42,6))</f>
        <v>11:10</v>
      </c>
      <c r="K4" s="9" t="str">
        <f ca="1">INDIRECT(ADDRESS(20,6))&amp;":"&amp;INDIRECT(ADDRESS(20,7))</f>
        <v>13:6</v>
      </c>
      <c r="L4" s="67">
        <f ca="1">IF(COUNT(F5:K5)=0,"",COUNTIF(F5:K5,"&gt;0")+0.5*COUNTIF(F5:K5,0))</f>
        <v>4</v>
      </c>
      <c r="M4" s="10"/>
      <c r="N4" s="53">
        <v>1</v>
      </c>
    </row>
    <row r="5" spans="2:14" ht="24" customHeight="1" x14ac:dyDescent="0.25">
      <c r="B5" s="60"/>
      <c r="C5" s="64"/>
      <c r="D5" s="65"/>
      <c r="E5" s="66"/>
      <c r="F5" s="11" t="s">
        <v>4</v>
      </c>
      <c r="G5" s="12">
        <f ca="1">IF(LEN(INDIRECT(ADDRESS(ROW()-1, COLUMN())))=1,"",INDIRECT(ADDRESS(27,6))-INDIRECT(ADDRESS(27,7)))</f>
        <v>-7</v>
      </c>
      <c r="H5" s="12">
        <f ca="1">IF(LEN(INDIRECT(ADDRESS(ROW()-1, COLUMN())))=1,"",INDIRECT(ADDRESS(31,7))-INDIRECT(ADDRESS(31,6)))</f>
        <v>1</v>
      </c>
      <c r="I5" s="12">
        <f ca="1">IF(LEN(INDIRECT(ADDRESS(ROW()-1, COLUMN())))=1,"",INDIRECT(ADDRESS(36,6))-INDIRECT(ADDRESS(36,7)))</f>
        <v>9</v>
      </c>
      <c r="J5" s="12">
        <f ca="1">IF(LEN(INDIRECT(ADDRESS(ROW()-1, COLUMN())))=1,"",INDIRECT(ADDRESS(42,7))-INDIRECT(ADDRESS(42,6)))</f>
        <v>1</v>
      </c>
      <c r="K5" s="13">
        <f ca="1">IF(LEN(INDIRECT(ADDRESS(ROW()-1, COLUMN())))=1,"",INDIRECT(ADDRESS(20,6))-INDIRECT(ADDRESS(20,7)))</f>
        <v>7</v>
      </c>
      <c r="L5" s="68"/>
      <c r="M5" s="12">
        <f ca="1">IF(COUNT(F5:K5)=0,"",SUM(F5:K5))</f>
        <v>11</v>
      </c>
      <c r="N5" s="54"/>
    </row>
    <row r="6" spans="2:14" ht="24" customHeight="1" x14ac:dyDescent="0.25">
      <c r="B6" s="69">
        <v>2</v>
      </c>
      <c r="C6" s="64" t="s">
        <v>78</v>
      </c>
      <c r="D6" s="65"/>
      <c r="E6" s="66"/>
      <c r="F6" s="14" t="str">
        <f ca="1">INDIRECT(ADDRESS(27,7))&amp;":"&amp;INDIRECT(ADDRESS(27,6))</f>
        <v>13:6</v>
      </c>
      <c r="G6" s="15" t="s">
        <v>4</v>
      </c>
      <c r="H6" s="16" t="str">
        <f ca="1">INDIRECT(ADDRESS(37,6))&amp;":"&amp;INDIRECT(ADDRESS(37,7))</f>
        <v>13:12</v>
      </c>
      <c r="I6" s="16" t="str">
        <f ca="1">INDIRECT(ADDRESS(41,7))&amp;":"&amp;INDIRECT(ADDRESS(41,6))</f>
        <v>13:1</v>
      </c>
      <c r="J6" s="16" t="str">
        <f ca="1">INDIRECT(ADDRESS(21,6))&amp;":"&amp;INDIRECT(ADDRESS(21,7))</f>
        <v>9:13</v>
      </c>
      <c r="K6" s="17" t="str">
        <f ca="1">INDIRECT(ADDRESS(30,6))&amp;":"&amp;INDIRECT(ADDRESS(30,7))</f>
        <v>8:13</v>
      </c>
      <c r="L6" s="68">
        <f ca="1">IF(COUNT(F7:K7)=0,"",COUNTIF(F7:K7,"&gt;0")+0.5*COUNTIF(F7:K7,0))</f>
        <v>3</v>
      </c>
      <c r="M6" s="12"/>
      <c r="N6" s="70">
        <v>2</v>
      </c>
    </row>
    <row r="7" spans="2:14" ht="24" customHeight="1" x14ac:dyDescent="0.25">
      <c r="B7" s="60"/>
      <c r="C7" s="64"/>
      <c r="D7" s="65"/>
      <c r="E7" s="66"/>
      <c r="F7" s="18">
        <f ca="1">IF(LEN(INDIRECT(ADDRESS(ROW()-1, COLUMN())))=1,"",INDIRECT(ADDRESS(27,7))-INDIRECT(ADDRESS(27,6)))</f>
        <v>7</v>
      </c>
      <c r="G7" s="19" t="s">
        <v>4</v>
      </c>
      <c r="H7" s="12">
        <f ca="1">IF(LEN(INDIRECT(ADDRESS(ROW()-1, COLUMN())))=1,"",INDIRECT(ADDRESS(37,6))-INDIRECT(ADDRESS(37,7)))</f>
        <v>1</v>
      </c>
      <c r="I7" s="12">
        <f ca="1">IF(LEN(INDIRECT(ADDRESS(ROW()-1, COLUMN())))=1,"",INDIRECT(ADDRESS(41,7))-INDIRECT(ADDRESS(41,6)))</f>
        <v>12</v>
      </c>
      <c r="J7" s="12">
        <f ca="1">IF(LEN(INDIRECT(ADDRESS(ROW()-1, COLUMN())))=1,"",INDIRECT(ADDRESS(21,6))-INDIRECT(ADDRESS(21,7)))</f>
        <v>-4</v>
      </c>
      <c r="K7" s="13">
        <f ca="1">IF(LEN(INDIRECT(ADDRESS(ROW()-1, COLUMN())))=1,"",INDIRECT(ADDRESS(30,6))-INDIRECT(ADDRESS(30,7)))</f>
        <v>-5</v>
      </c>
      <c r="L7" s="68"/>
      <c r="M7" s="12">
        <f ca="1">IF(COUNT(F7:K7)=0,"",SUM(F7:K7))</f>
        <v>11</v>
      </c>
      <c r="N7" s="54"/>
    </row>
    <row r="8" spans="2:14" ht="24" customHeight="1" x14ac:dyDescent="0.25">
      <c r="B8" s="69">
        <v>3</v>
      </c>
      <c r="C8" s="71" t="s">
        <v>79</v>
      </c>
      <c r="D8" s="72"/>
      <c r="E8" s="73"/>
      <c r="F8" s="14" t="str">
        <f ca="1">INDIRECT(ADDRESS(31,6))&amp;":"&amp;INDIRECT(ADDRESS(31,7))</f>
        <v>11:12</v>
      </c>
      <c r="G8" s="16" t="str">
        <f ca="1">INDIRECT(ADDRESS(37,7))&amp;":"&amp;INDIRECT(ADDRESS(37,6))</f>
        <v>12:13</v>
      </c>
      <c r="H8" s="15" t="s">
        <v>4</v>
      </c>
      <c r="I8" s="16" t="str">
        <f ca="1">INDIRECT(ADDRESS(22,6))&amp;":"&amp;INDIRECT(ADDRESS(22,7))</f>
        <v>13:6</v>
      </c>
      <c r="J8" s="16" t="str">
        <f ca="1">INDIRECT(ADDRESS(26,7))&amp;":"&amp;INDIRECT(ADDRESS(26,6))</f>
        <v>13:10</v>
      </c>
      <c r="K8" s="17" t="str">
        <f ca="1">INDIRECT(ADDRESS(40,6))&amp;":"&amp;INDIRECT(ADDRESS(40,7))</f>
        <v>13:2</v>
      </c>
      <c r="L8" s="68">
        <f ca="1">IF(COUNT(F9:K9)=0,"",COUNTIF(F9:K9,"&gt;0")+0.5*COUNTIF(F9:K9,0))</f>
        <v>3</v>
      </c>
      <c r="M8" s="12"/>
      <c r="N8" s="70">
        <v>3</v>
      </c>
    </row>
    <row r="9" spans="2:14" ht="24" customHeight="1" x14ac:dyDescent="0.25">
      <c r="B9" s="60"/>
      <c r="C9" s="71"/>
      <c r="D9" s="72"/>
      <c r="E9" s="73"/>
      <c r="F9" s="18">
        <f ca="1">IF(LEN(INDIRECT(ADDRESS(ROW()-1, COLUMN())))=1,"",INDIRECT(ADDRESS(31,6))-INDIRECT(ADDRESS(31,7)))</f>
        <v>-1</v>
      </c>
      <c r="G9" s="12">
        <f ca="1">IF(LEN(INDIRECT(ADDRESS(ROW()-1, COLUMN())))=1,"",INDIRECT(ADDRESS(37,7))-INDIRECT(ADDRESS(37,6)))</f>
        <v>-1</v>
      </c>
      <c r="H9" s="19" t="s">
        <v>4</v>
      </c>
      <c r="I9" s="12">
        <f ca="1">IF(LEN(INDIRECT(ADDRESS(ROW()-1, COLUMN())))=1,"",INDIRECT(ADDRESS(22,6))-INDIRECT(ADDRESS(22,7)))</f>
        <v>7</v>
      </c>
      <c r="J9" s="12">
        <f ca="1">IF(LEN(INDIRECT(ADDRESS(ROW()-1, COLUMN())))=1,"",INDIRECT(ADDRESS(26,7))-INDIRECT(ADDRESS(26,6)))</f>
        <v>3</v>
      </c>
      <c r="K9" s="13">
        <f ca="1">IF(LEN(INDIRECT(ADDRESS(ROW()-1, COLUMN())))=1,"",INDIRECT(ADDRESS(40,6))-INDIRECT(ADDRESS(40,7)))</f>
        <v>11</v>
      </c>
      <c r="L9" s="68"/>
      <c r="M9" s="12">
        <f ca="1">IF(COUNT(F9:K9)=0,"",SUM(F9:K9))</f>
        <v>19</v>
      </c>
      <c r="N9" s="54"/>
    </row>
    <row r="10" spans="2:14" ht="24" customHeight="1" x14ac:dyDescent="0.25">
      <c r="B10" s="69">
        <v>4</v>
      </c>
      <c r="C10" s="79" t="s">
        <v>80</v>
      </c>
      <c r="D10" s="80"/>
      <c r="E10" s="81"/>
      <c r="F10" s="14" t="str">
        <f ca="1">INDIRECT(ADDRESS(36,7))&amp;":"&amp;INDIRECT(ADDRESS(36,6))</f>
        <v>4:13</v>
      </c>
      <c r="G10" s="16" t="str">
        <f ca="1">INDIRECT(ADDRESS(41,6))&amp;":"&amp;INDIRECT(ADDRESS(41,7))</f>
        <v>1:13</v>
      </c>
      <c r="H10" s="16" t="str">
        <f ca="1">INDIRECT(ADDRESS(22,7))&amp;":"&amp;INDIRECT(ADDRESS(22,6))</f>
        <v>6:13</v>
      </c>
      <c r="I10" s="15" t="s">
        <v>4</v>
      </c>
      <c r="J10" s="16" t="str">
        <f ca="1">INDIRECT(ADDRESS(32,6))&amp;":"&amp;INDIRECT(ADDRESS(32,7))</f>
        <v>0:13</v>
      </c>
      <c r="K10" s="17" t="str">
        <f ca="1">INDIRECT(ADDRESS(25,7))&amp;":"&amp;INDIRECT(ADDRESS(25,6))</f>
        <v>13:10</v>
      </c>
      <c r="L10" s="68">
        <f ca="1">IF(COUNT(F11:K11)=0,"",COUNTIF(F11:K11,"&gt;0")+0.5*COUNTIF(F11:K11,0))</f>
        <v>1</v>
      </c>
      <c r="M10" s="12"/>
      <c r="N10" s="70">
        <v>6</v>
      </c>
    </row>
    <row r="11" spans="2:14" ht="24" customHeight="1" x14ac:dyDescent="0.25">
      <c r="B11" s="60"/>
      <c r="C11" s="79"/>
      <c r="D11" s="80"/>
      <c r="E11" s="81"/>
      <c r="F11" s="18">
        <f ca="1">IF(LEN(INDIRECT(ADDRESS(ROW()-1, COLUMN())))=1,"",INDIRECT(ADDRESS(36,7))-INDIRECT(ADDRESS(36,6)))</f>
        <v>-9</v>
      </c>
      <c r="G11" s="12">
        <f ca="1">IF(LEN(INDIRECT(ADDRESS(ROW()-1, COLUMN())))=1,"",INDIRECT(ADDRESS(41,6))-INDIRECT(ADDRESS(41,7)))</f>
        <v>-12</v>
      </c>
      <c r="H11" s="12">
        <f ca="1">IF(LEN(INDIRECT(ADDRESS(ROW()-1, COLUMN())))=1,"",INDIRECT(ADDRESS(22,7))-INDIRECT(ADDRESS(22,6)))</f>
        <v>-7</v>
      </c>
      <c r="I11" s="19" t="s">
        <v>4</v>
      </c>
      <c r="J11" s="12">
        <f ca="1">IF(LEN(INDIRECT(ADDRESS(ROW()-1, COLUMN())))=1,"",INDIRECT(ADDRESS(32,6))-INDIRECT(ADDRESS(32,7)))</f>
        <v>-13</v>
      </c>
      <c r="K11" s="13">
        <f ca="1">IF(LEN(INDIRECT(ADDRESS(ROW()-1, COLUMN())))=1,"",INDIRECT(ADDRESS(25,7))-INDIRECT(ADDRESS(25,6)))</f>
        <v>3</v>
      </c>
      <c r="L11" s="68"/>
      <c r="M11" s="12">
        <f ca="1">IF(COUNT(F11:K11)=0,"",SUM(F11:K11))</f>
        <v>-38</v>
      </c>
      <c r="N11" s="54"/>
    </row>
    <row r="12" spans="2:14" ht="24" customHeight="1" x14ac:dyDescent="0.25">
      <c r="B12" s="69">
        <v>5</v>
      </c>
      <c r="C12" s="79" t="s">
        <v>82</v>
      </c>
      <c r="D12" s="80"/>
      <c r="E12" s="81"/>
      <c r="F12" s="14" t="str">
        <f ca="1">INDIRECT(ADDRESS(42,6))&amp;":"&amp;INDIRECT(ADDRESS(42,7))</f>
        <v>10:11</v>
      </c>
      <c r="G12" s="16" t="str">
        <f ca="1">INDIRECT(ADDRESS(21,7))&amp;":"&amp;INDIRECT(ADDRESS(21,6))</f>
        <v>13:9</v>
      </c>
      <c r="H12" s="16" t="str">
        <f ca="1">INDIRECT(ADDRESS(26,6))&amp;":"&amp;INDIRECT(ADDRESS(26,7))</f>
        <v>10:13</v>
      </c>
      <c r="I12" s="16" t="str">
        <f ca="1">INDIRECT(ADDRESS(32,7))&amp;":"&amp;INDIRECT(ADDRESS(32,6))</f>
        <v>13:0</v>
      </c>
      <c r="J12" s="15" t="s">
        <v>4</v>
      </c>
      <c r="K12" s="17" t="str">
        <f ca="1">INDIRECT(ADDRESS(35,7))&amp;":"&amp;INDIRECT(ADDRESS(35,6))</f>
        <v>10:13</v>
      </c>
      <c r="L12" s="68">
        <f ca="1">IF(COUNT(F13:K13)=0,"",COUNTIF(F13:K13,"&gt;0")+0.5*COUNTIF(F13:K13,0))</f>
        <v>2</v>
      </c>
      <c r="M12" s="12"/>
      <c r="N12" s="70">
        <v>5</v>
      </c>
    </row>
    <row r="13" spans="2:14" ht="24" customHeight="1" x14ac:dyDescent="0.25">
      <c r="B13" s="60"/>
      <c r="C13" s="79"/>
      <c r="D13" s="80"/>
      <c r="E13" s="81"/>
      <c r="F13" s="18">
        <f ca="1">IF(LEN(INDIRECT(ADDRESS(ROW()-1, COLUMN())))=1,"",INDIRECT(ADDRESS(42,6))-INDIRECT(ADDRESS(42,7)))</f>
        <v>-1</v>
      </c>
      <c r="G13" s="12">
        <f ca="1">IF(LEN(INDIRECT(ADDRESS(ROW()-1, COLUMN())))=1,"",INDIRECT(ADDRESS(21,7))-INDIRECT(ADDRESS(21,6)))</f>
        <v>4</v>
      </c>
      <c r="H13" s="12">
        <f ca="1">IF(LEN(INDIRECT(ADDRESS(ROW()-1, COLUMN())))=1,"",INDIRECT(ADDRESS(26,6))-INDIRECT(ADDRESS(26,7)))</f>
        <v>-3</v>
      </c>
      <c r="I13" s="12">
        <f ca="1">IF(LEN(INDIRECT(ADDRESS(ROW()-1, COLUMN())))=1,"",INDIRECT(ADDRESS(32,7))-INDIRECT(ADDRESS(32,6)))</f>
        <v>13</v>
      </c>
      <c r="J13" s="19" t="s">
        <v>4</v>
      </c>
      <c r="K13" s="13">
        <f ca="1">IF(LEN(INDIRECT(ADDRESS(ROW()-1, COLUMN())))=1,"",INDIRECT(ADDRESS(35,7))-INDIRECT(ADDRESS(35,6)))</f>
        <v>-3</v>
      </c>
      <c r="L13" s="68"/>
      <c r="M13" s="12">
        <f ca="1">IF(COUNT(F13:K13)=0,"",SUM(F13:K13))</f>
        <v>10</v>
      </c>
      <c r="N13" s="54"/>
    </row>
    <row r="14" spans="2:14" ht="24" customHeight="1" x14ac:dyDescent="0.25">
      <c r="B14" s="69">
        <v>6</v>
      </c>
      <c r="C14" s="71" t="s">
        <v>81</v>
      </c>
      <c r="D14" s="72"/>
      <c r="E14" s="73"/>
      <c r="F14" s="14" t="str">
        <f ca="1">INDIRECT(ADDRESS(20,7))&amp;":"&amp;INDIRECT(ADDRESS(20,6))</f>
        <v>6:13</v>
      </c>
      <c r="G14" s="16" t="str">
        <f ca="1">INDIRECT(ADDRESS(30,7))&amp;":"&amp;INDIRECT(ADDRESS(30,6))</f>
        <v>13:8</v>
      </c>
      <c r="H14" s="16" t="str">
        <f ca="1">INDIRECT(ADDRESS(40,7))&amp;":"&amp;INDIRECT(ADDRESS(40,6))</f>
        <v>2:13</v>
      </c>
      <c r="I14" s="16" t="str">
        <f ca="1">INDIRECT(ADDRESS(25,6))&amp;":"&amp;INDIRECT(ADDRESS(25,7))</f>
        <v>10:13</v>
      </c>
      <c r="J14" s="16" t="str">
        <f ca="1">INDIRECT(ADDRESS(35,6))&amp;":"&amp;INDIRECT(ADDRESS(35,7))</f>
        <v>13:10</v>
      </c>
      <c r="K14" s="20" t="s">
        <v>4</v>
      </c>
      <c r="L14" s="68">
        <f ca="1">IF(COUNT(F15:K15)=0,"",COUNTIF(F15:K15,"&gt;0")+0.5*COUNTIF(F15:K15,0))</f>
        <v>2</v>
      </c>
      <c r="M14" s="12"/>
      <c r="N14" s="70">
        <v>4</v>
      </c>
    </row>
    <row r="15" spans="2:14" ht="24" customHeight="1" thickBot="1" x14ac:dyDescent="0.3">
      <c r="B15" s="82"/>
      <c r="C15" s="83"/>
      <c r="D15" s="84"/>
      <c r="E15" s="85"/>
      <c r="F15" s="21">
        <f ca="1">IF(LEN(INDIRECT(ADDRESS(ROW()-1, COLUMN())))=1,"",INDIRECT(ADDRESS(20,7))-INDIRECT(ADDRESS(20,6)))</f>
        <v>-7</v>
      </c>
      <c r="G15" s="22">
        <f ca="1">IF(LEN(INDIRECT(ADDRESS(ROW()-1, COLUMN())))=1,"",INDIRECT(ADDRESS(30,7))-INDIRECT(ADDRESS(30,6)))</f>
        <v>5</v>
      </c>
      <c r="H15" s="22">
        <f ca="1">IF(LEN(INDIRECT(ADDRESS(ROW()-1, COLUMN())))=1,"",INDIRECT(ADDRESS(40,7))-INDIRECT(ADDRESS(40,6)))</f>
        <v>-11</v>
      </c>
      <c r="I15" s="22">
        <f ca="1">IF(LEN(INDIRECT(ADDRESS(ROW()-1, COLUMN())))=1,"",INDIRECT(ADDRESS(25,6))-INDIRECT(ADDRESS(25,7)))</f>
        <v>-3</v>
      </c>
      <c r="J15" s="22">
        <f ca="1">IF(LEN(INDIRECT(ADDRESS(ROW()-1, COLUMN())))=1,"",INDIRECT(ADDRESS(35,6))-INDIRECT(ADDRESS(35,7)))</f>
        <v>3</v>
      </c>
      <c r="K15" s="23" t="s">
        <v>4</v>
      </c>
      <c r="L15" s="86"/>
      <c r="M15" s="22">
        <f ca="1">IF(COUNT(F15:K15)=0,"",SUM(F15:K15))</f>
        <v>-13</v>
      </c>
      <c r="N15" s="74"/>
    </row>
    <row r="19" spans="1:19" s="26" customFormat="1" ht="30" customHeight="1" thickBot="1" x14ac:dyDescent="0.4">
      <c r="A19" s="24"/>
      <c r="B19" s="75" t="s">
        <v>5</v>
      </c>
      <c r="C19" s="75"/>
      <c r="D19" s="75"/>
      <c r="E19" s="75"/>
      <c r="F19" s="75"/>
      <c r="G19" s="75"/>
      <c r="H19" s="75"/>
      <c r="I19" s="75"/>
      <c r="J19" s="75"/>
      <c r="K19" s="75"/>
    </row>
    <row r="20" spans="1:19" s="26" customFormat="1" ht="30" customHeight="1" thickBot="1" x14ac:dyDescent="0.4">
      <c r="A20" s="24"/>
      <c r="B20" s="27">
        <v>1</v>
      </c>
      <c r="C20" s="76" t="str">
        <f ca="1">IF(ISBLANK(INDIRECT(ADDRESS(B20*2+2,3))),"",INDIRECT(ADDRESS(B20*2+2,3)))</f>
        <v>Бирюкова</v>
      </c>
      <c r="D20" s="76"/>
      <c r="E20" s="77"/>
      <c r="F20" s="28">
        <v>13</v>
      </c>
      <c r="G20" s="29">
        <v>6</v>
      </c>
      <c r="H20" s="78" t="str">
        <f ca="1">IF(ISBLANK(INDIRECT(ADDRESS(K20*2+2,3))),"",INDIRECT(ADDRESS(K20*2+2,3)))</f>
        <v>Большакова</v>
      </c>
      <c r="I20" s="76"/>
      <c r="J20" s="76"/>
      <c r="K20" s="27">
        <v>6</v>
      </c>
      <c r="L20" s="30" t="s">
        <v>6</v>
      </c>
      <c r="M20" s="25">
        <v>4</v>
      </c>
    </row>
    <row r="21" spans="1:19" s="26" customFormat="1" ht="30" customHeight="1" thickBot="1" x14ac:dyDescent="0.4">
      <c r="A21" s="24"/>
      <c r="B21" s="27">
        <v>2</v>
      </c>
      <c r="C21" s="76" t="str">
        <f ca="1">IF(ISBLANK(INDIRECT(ADDRESS(B21*2+2,3))),"",INDIRECT(ADDRESS(B21*2+2,3)))</f>
        <v>Мирошниченко</v>
      </c>
      <c r="D21" s="76"/>
      <c r="E21" s="77"/>
      <c r="F21" s="28">
        <v>9</v>
      </c>
      <c r="G21" s="29">
        <v>13</v>
      </c>
      <c r="H21" s="78" t="str">
        <f ca="1">IF(ISBLANK(INDIRECT(ADDRESS(K21*2+2,3))),"",INDIRECT(ADDRESS(K21*2+2,3)))</f>
        <v>Соколова</v>
      </c>
      <c r="I21" s="76"/>
      <c r="J21" s="76"/>
      <c r="K21" s="27">
        <v>5</v>
      </c>
      <c r="L21" s="30" t="s">
        <v>6</v>
      </c>
      <c r="M21" s="25">
        <v>5</v>
      </c>
    </row>
    <row r="22" spans="1:19" s="26" customFormat="1" ht="30" customHeight="1" thickBot="1" x14ac:dyDescent="0.4">
      <c r="A22" s="24"/>
      <c r="B22" s="27">
        <v>3</v>
      </c>
      <c r="C22" s="76" t="str">
        <f ca="1">IF(ISBLANK(INDIRECT(ADDRESS(B22*2+2,3))),"",INDIRECT(ADDRESS(B22*2+2,3)))</f>
        <v>Зубова</v>
      </c>
      <c r="D22" s="76"/>
      <c r="E22" s="77"/>
      <c r="F22" s="28">
        <v>13</v>
      </c>
      <c r="G22" s="29">
        <v>6</v>
      </c>
      <c r="H22" s="78" t="str">
        <f ca="1">IF(ISBLANK(INDIRECT(ADDRESS(K22*2+2,3))),"",INDIRECT(ADDRESS(K22*2+2,3)))</f>
        <v>Елсакова</v>
      </c>
      <c r="I22" s="76"/>
      <c r="J22" s="76"/>
      <c r="K22" s="27">
        <v>4</v>
      </c>
      <c r="L22" s="30" t="s">
        <v>6</v>
      </c>
      <c r="M22" s="25">
        <v>6</v>
      </c>
    </row>
    <row r="23" spans="1:19" s="26" customFormat="1" ht="30" customHeight="1" x14ac:dyDescent="0.35">
      <c r="A23" s="24"/>
      <c r="M23" s="31"/>
    </row>
    <row r="24" spans="1:19" s="26" customFormat="1" ht="30" customHeight="1" thickBot="1" x14ac:dyDescent="0.4">
      <c r="A24" s="24"/>
      <c r="B24" s="75" t="s">
        <v>7</v>
      </c>
      <c r="C24" s="75"/>
      <c r="D24" s="75"/>
      <c r="E24" s="75"/>
      <c r="F24" s="75"/>
      <c r="G24" s="75"/>
      <c r="H24" s="75"/>
      <c r="I24" s="75"/>
      <c r="J24" s="75"/>
      <c r="K24" s="75"/>
      <c r="M24" s="31"/>
    </row>
    <row r="25" spans="1:19" s="26" customFormat="1" ht="30" customHeight="1" thickBot="1" x14ac:dyDescent="0.4">
      <c r="A25" s="24"/>
      <c r="B25" s="27">
        <v>6</v>
      </c>
      <c r="C25" s="76" t="str">
        <f ca="1">IF(ISBLANK(INDIRECT(ADDRESS(B25*2+2,3))),"",INDIRECT(ADDRESS(B25*2+2,3)))</f>
        <v>Большакова</v>
      </c>
      <c r="D25" s="76"/>
      <c r="E25" s="77"/>
      <c r="F25" s="28">
        <v>10</v>
      </c>
      <c r="G25" s="29">
        <v>13</v>
      </c>
      <c r="H25" s="78" t="str">
        <f ca="1">IF(ISBLANK(INDIRECT(ADDRESS(K25*2+2,3))),"",INDIRECT(ADDRESS(K25*2+2,3)))</f>
        <v>Елсакова</v>
      </c>
      <c r="I25" s="76"/>
      <c r="J25" s="76"/>
      <c r="K25" s="27">
        <v>4</v>
      </c>
      <c r="L25" s="30" t="s">
        <v>6</v>
      </c>
      <c r="M25" s="25">
        <v>7</v>
      </c>
    </row>
    <row r="26" spans="1:19" s="26" customFormat="1" ht="30" customHeight="1" thickBot="1" x14ac:dyDescent="0.4">
      <c r="A26" s="24"/>
      <c r="B26" s="27">
        <v>5</v>
      </c>
      <c r="C26" s="76" t="str">
        <f ca="1">IF(ISBLANK(INDIRECT(ADDRESS(B26*2+2,3))),"",INDIRECT(ADDRESS(B26*2+2,3)))</f>
        <v>Соколова</v>
      </c>
      <c r="D26" s="76"/>
      <c r="E26" s="77"/>
      <c r="F26" s="28">
        <v>10</v>
      </c>
      <c r="G26" s="29">
        <v>13</v>
      </c>
      <c r="H26" s="78" t="str">
        <f ca="1">IF(ISBLANK(INDIRECT(ADDRESS(K26*2+2,3))),"",INDIRECT(ADDRESS(K26*2+2,3)))</f>
        <v>Зубова</v>
      </c>
      <c r="I26" s="76"/>
      <c r="J26" s="76"/>
      <c r="K26" s="27">
        <v>3</v>
      </c>
      <c r="L26" s="30" t="s">
        <v>6</v>
      </c>
      <c r="M26" s="25">
        <v>8</v>
      </c>
    </row>
    <row r="27" spans="1:19" s="26" customFormat="1" ht="30" customHeight="1" thickBot="1" x14ac:dyDescent="0.4">
      <c r="A27" s="24"/>
      <c r="B27" s="27">
        <v>1</v>
      </c>
      <c r="C27" s="76" t="str">
        <f ca="1">IF(ISBLANK(INDIRECT(ADDRESS(B27*2+2,3))),"",INDIRECT(ADDRESS(B27*2+2,3)))</f>
        <v>Бирюкова</v>
      </c>
      <c r="D27" s="76"/>
      <c r="E27" s="77"/>
      <c r="F27" s="28">
        <v>6</v>
      </c>
      <c r="G27" s="29">
        <v>13</v>
      </c>
      <c r="H27" s="78" t="str">
        <f ca="1">IF(ISBLANK(INDIRECT(ADDRESS(K27*2+2,3))),"",INDIRECT(ADDRESS(K27*2+2,3)))</f>
        <v>Мирошниченко</v>
      </c>
      <c r="I27" s="76"/>
      <c r="J27" s="76"/>
      <c r="K27" s="27">
        <v>2</v>
      </c>
      <c r="L27" s="30" t="s">
        <v>6</v>
      </c>
      <c r="M27" s="25">
        <v>9</v>
      </c>
    </row>
    <row r="28" spans="1:19" s="26" customFormat="1" ht="30" customHeight="1" x14ac:dyDescent="0.35">
      <c r="A28" s="24"/>
      <c r="M28" s="31"/>
    </row>
    <row r="29" spans="1:19" s="26" customFormat="1" ht="30" customHeight="1" thickBot="1" x14ac:dyDescent="0.4">
      <c r="A29" s="24"/>
      <c r="B29" s="75" t="s">
        <v>8</v>
      </c>
      <c r="C29" s="75"/>
      <c r="D29" s="75"/>
      <c r="E29" s="75"/>
      <c r="F29" s="75"/>
      <c r="G29" s="75"/>
      <c r="H29" s="75"/>
      <c r="I29" s="75"/>
      <c r="J29" s="75"/>
      <c r="K29" s="75"/>
      <c r="M29" s="31"/>
      <c r="S29" s="26" t="s">
        <v>93</v>
      </c>
    </row>
    <row r="30" spans="1:19" s="26" customFormat="1" ht="30" customHeight="1" thickBot="1" x14ac:dyDescent="0.4">
      <c r="A30" s="24"/>
      <c r="B30" s="27">
        <v>2</v>
      </c>
      <c r="C30" s="76" t="str">
        <f ca="1">IF(ISBLANK(INDIRECT(ADDRESS(B30*2+2,3))),"",INDIRECT(ADDRESS(B30*2+2,3)))</f>
        <v>Мирошниченко</v>
      </c>
      <c r="D30" s="76"/>
      <c r="E30" s="77"/>
      <c r="F30" s="28">
        <v>8</v>
      </c>
      <c r="G30" s="29">
        <v>13</v>
      </c>
      <c r="H30" s="78" t="str">
        <f ca="1">IF(ISBLANK(INDIRECT(ADDRESS(K30*2+2,3))),"",INDIRECT(ADDRESS(K30*2+2,3)))</f>
        <v>Большакова</v>
      </c>
      <c r="I30" s="76"/>
      <c r="J30" s="76"/>
      <c r="K30" s="27">
        <v>6</v>
      </c>
      <c r="L30" s="30" t="s">
        <v>6</v>
      </c>
      <c r="M30" s="25">
        <v>1</v>
      </c>
    </row>
    <row r="31" spans="1:19" s="26" customFormat="1" ht="30" customHeight="1" thickBot="1" x14ac:dyDescent="0.4">
      <c r="A31" s="24"/>
      <c r="B31" s="27">
        <v>3</v>
      </c>
      <c r="C31" s="76" t="str">
        <f ca="1">IF(ISBLANK(INDIRECT(ADDRESS(B31*2+2,3))),"",INDIRECT(ADDRESS(B31*2+2,3)))</f>
        <v>Зубова</v>
      </c>
      <c r="D31" s="76"/>
      <c r="E31" s="77"/>
      <c r="F31" s="28">
        <v>11</v>
      </c>
      <c r="G31" s="29">
        <v>12</v>
      </c>
      <c r="H31" s="78" t="str">
        <f ca="1">IF(ISBLANK(INDIRECT(ADDRESS(K31*2+2,3))),"",INDIRECT(ADDRESS(K31*2+2,3)))</f>
        <v>Бирюкова</v>
      </c>
      <c r="I31" s="76"/>
      <c r="J31" s="76"/>
      <c r="K31" s="27">
        <v>1</v>
      </c>
      <c r="L31" s="30" t="s">
        <v>6</v>
      </c>
      <c r="M31" s="25">
        <v>2</v>
      </c>
    </row>
    <row r="32" spans="1:19" s="26" customFormat="1" ht="30" customHeight="1" thickBot="1" x14ac:dyDescent="0.4">
      <c r="A32" s="24"/>
      <c r="B32" s="27">
        <v>4</v>
      </c>
      <c r="C32" s="76" t="str">
        <f ca="1">IF(ISBLANK(INDIRECT(ADDRESS(B32*2+2,3))),"",INDIRECT(ADDRESS(B32*2+2,3)))</f>
        <v>Елсакова</v>
      </c>
      <c r="D32" s="76"/>
      <c r="E32" s="77"/>
      <c r="F32" s="28">
        <v>0</v>
      </c>
      <c r="G32" s="29">
        <v>13</v>
      </c>
      <c r="H32" s="78" t="str">
        <f ca="1">IF(ISBLANK(INDIRECT(ADDRESS(K32*2+2,3))),"",INDIRECT(ADDRESS(K32*2+2,3)))</f>
        <v>Соколова</v>
      </c>
      <c r="I32" s="76"/>
      <c r="J32" s="76"/>
      <c r="K32" s="27">
        <v>5</v>
      </c>
      <c r="L32" s="30" t="s">
        <v>6</v>
      </c>
      <c r="M32" s="25">
        <v>10</v>
      </c>
    </row>
    <row r="33" spans="1:13" s="26" customFormat="1" ht="30" customHeight="1" x14ac:dyDescent="0.35">
      <c r="A33" s="24"/>
      <c r="M33" s="31"/>
    </row>
    <row r="34" spans="1:13" s="26" customFormat="1" ht="30" customHeight="1" thickBot="1" x14ac:dyDescent="0.4">
      <c r="A34" s="24"/>
      <c r="B34" s="75" t="s">
        <v>9</v>
      </c>
      <c r="C34" s="75"/>
      <c r="D34" s="75"/>
      <c r="E34" s="75"/>
      <c r="F34" s="75"/>
      <c r="G34" s="75"/>
      <c r="H34" s="75"/>
      <c r="I34" s="75"/>
      <c r="J34" s="75"/>
      <c r="K34" s="75"/>
      <c r="M34" s="31"/>
    </row>
    <row r="35" spans="1:13" s="26" customFormat="1" ht="30" customHeight="1" thickBot="1" x14ac:dyDescent="0.4">
      <c r="A35" s="24"/>
      <c r="B35" s="27">
        <v>6</v>
      </c>
      <c r="C35" s="76" t="str">
        <f ca="1">IF(ISBLANK(INDIRECT(ADDRESS(B35*2+2,3))),"",INDIRECT(ADDRESS(B35*2+2,3)))</f>
        <v>Большакова</v>
      </c>
      <c r="D35" s="76"/>
      <c r="E35" s="77"/>
      <c r="F35" s="28">
        <v>13</v>
      </c>
      <c r="G35" s="29">
        <v>10</v>
      </c>
      <c r="H35" s="78" t="str">
        <f ca="1">IF(ISBLANK(INDIRECT(ADDRESS(K35*2+2,3))),"",INDIRECT(ADDRESS(K35*2+2,3)))</f>
        <v>Соколова</v>
      </c>
      <c r="I35" s="76"/>
      <c r="J35" s="76"/>
      <c r="K35" s="27">
        <v>5</v>
      </c>
      <c r="L35" s="30" t="s">
        <v>6</v>
      </c>
      <c r="M35" s="25">
        <v>3</v>
      </c>
    </row>
    <row r="36" spans="1:13" s="26" customFormat="1" ht="30" customHeight="1" thickBot="1" x14ac:dyDescent="0.4">
      <c r="A36" s="24"/>
      <c r="B36" s="27">
        <v>1</v>
      </c>
      <c r="C36" s="76" t="str">
        <f ca="1">IF(ISBLANK(INDIRECT(ADDRESS(B36*2+2,3))),"",INDIRECT(ADDRESS(B36*2+2,3)))</f>
        <v>Бирюкова</v>
      </c>
      <c r="D36" s="76"/>
      <c r="E36" s="77"/>
      <c r="F36" s="28">
        <v>13</v>
      </c>
      <c r="G36" s="29">
        <v>4</v>
      </c>
      <c r="H36" s="78" t="str">
        <f ca="1">IF(ISBLANK(INDIRECT(ADDRESS(K36*2+2,3))),"",INDIRECT(ADDRESS(K36*2+2,3)))</f>
        <v>Елсакова</v>
      </c>
      <c r="I36" s="76"/>
      <c r="J36" s="76"/>
      <c r="K36" s="27">
        <v>4</v>
      </c>
      <c r="L36" s="30" t="s">
        <v>6</v>
      </c>
      <c r="M36" s="25">
        <v>4</v>
      </c>
    </row>
    <row r="37" spans="1:13" s="26" customFormat="1" ht="30" customHeight="1" thickBot="1" x14ac:dyDescent="0.4">
      <c r="A37" s="24"/>
      <c r="B37" s="27">
        <v>2</v>
      </c>
      <c r="C37" s="76" t="str">
        <f ca="1">IF(ISBLANK(INDIRECT(ADDRESS(B37*2+2,3))),"",INDIRECT(ADDRESS(B37*2+2,3)))</f>
        <v>Мирошниченко</v>
      </c>
      <c r="D37" s="76"/>
      <c r="E37" s="77"/>
      <c r="F37" s="28">
        <v>13</v>
      </c>
      <c r="G37" s="29">
        <v>12</v>
      </c>
      <c r="H37" s="78" t="str">
        <f ca="1">IF(ISBLANK(INDIRECT(ADDRESS(K37*2+2,3))),"",INDIRECT(ADDRESS(K37*2+2,3)))</f>
        <v>Зубова</v>
      </c>
      <c r="I37" s="76"/>
      <c r="J37" s="76"/>
      <c r="K37" s="27">
        <v>3</v>
      </c>
      <c r="L37" s="30" t="s">
        <v>6</v>
      </c>
      <c r="M37" s="25">
        <v>5</v>
      </c>
    </row>
    <row r="38" spans="1:13" s="26" customFormat="1" ht="30" customHeight="1" x14ac:dyDescent="0.35">
      <c r="A38" s="24"/>
      <c r="M38" s="31"/>
    </row>
    <row r="39" spans="1:13" s="26" customFormat="1" ht="30" customHeight="1" thickBot="1" x14ac:dyDescent="0.4">
      <c r="A39" s="24"/>
      <c r="B39" s="75" t="s">
        <v>10</v>
      </c>
      <c r="C39" s="75"/>
      <c r="D39" s="75"/>
      <c r="E39" s="75"/>
      <c r="F39" s="75"/>
      <c r="G39" s="75"/>
      <c r="H39" s="75"/>
      <c r="I39" s="75"/>
      <c r="J39" s="75"/>
      <c r="K39" s="75"/>
      <c r="M39" s="31"/>
    </row>
    <row r="40" spans="1:13" s="26" customFormat="1" ht="30" customHeight="1" thickBot="1" x14ac:dyDescent="0.4">
      <c r="A40" s="24"/>
      <c r="B40" s="27">
        <v>3</v>
      </c>
      <c r="C40" s="76" t="str">
        <f ca="1">IF(ISBLANK(INDIRECT(ADDRESS(B40*2+2,3))),"",INDIRECT(ADDRESS(B40*2+2,3)))</f>
        <v>Зубова</v>
      </c>
      <c r="D40" s="76"/>
      <c r="E40" s="77"/>
      <c r="F40" s="28">
        <v>13</v>
      </c>
      <c r="G40" s="29">
        <v>2</v>
      </c>
      <c r="H40" s="78" t="str">
        <f ca="1">IF(ISBLANK(INDIRECT(ADDRESS(K40*2+2,3))),"",INDIRECT(ADDRESS(K40*2+2,3)))</f>
        <v>Большакова</v>
      </c>
      <c r="I40" s="76"/>
      <c r="J40" s="76"/>
      <c r="K40" s="27">
        <v>6</v>
      </c>
      <c r="L40" s="30" t="s">
        <v>6</v>
      </c>
      <c r="M40" s="25">
        <v>7</v>
      </c>
    </row>
    <row r="41" spans="1:13" s="26" customFormat="1" ht="30" customHeight="1" thickBot="1" x14ac:dyDescent="0.4">
      <c r="A41" s="24"/>
      <c r="B41" s="27">
        <v>4</v>
      </c>
      <c r="C41" s="76" t="str">
        <f ca="1">IF(ISBLANK(INDIRECT(ADDRESS(B41*2+2,3))),"",INDIRECT(ADDRESS(B41*2+2,3)))</f>
        <v>Елсакова</v>
      </c>
      <c r="D41" s="76"/>
      <c r="E41" s="77"/>
      <c r="F41" s="28">
        <v>1</v>
      </c>
      <c r="G41" s="29">
        <v>13</v>
      </c>
      <c r="H41" s="78" t="str">
        <f ca="1">IF(ISBLANK(INDIRECT(ADDRESS(K41*2+2,3))),"",INDIRECT(ADDRESS(K41*2+2,3)))</f>
        <v>Мирошниченко</v>
      </c>
      <c r="I41" s="76"/>
      <c r="J41" s="76"/>
      <c r="K41" s="27">
        <v>2</v>
      </c>
      <c r="L41" s="30" t="s">
        <v>6</v>
      </c>
      <c r="M41" s="25">
        <v>8</v>
      </c>
    </row>
    <row r="42" spans="1:13" s="26" customFormat="1" ht="30" customHeight="1" thickBot="1" x14ac:dyDescent="0.4">
      <c r="A42" s="24"/>
      <c r="B42" s="27">
        <v>5</v>
      </c>
      <c r="C42" s="76" t="str">
        <f ca="1">IF(ISBLANK(INDIRECT(ADDRESS(B42*2+2,3))),"",INDIRECT(ADDRESS(B42*2+2,3)))</f>
        <v>Соколова</v>
      </c>
      <c r="D42" s="76"/>
      <c r="E42" s="77"/>
      <c r="F42" s="28">
        <v>10</v>
      </c>
      <c r="G42" s="29">
        <v>11</v>
      </c>
      <c r="H42" s="78" t="str">
        <f ca="1">IF(ISBLANK(INDIRECT(ADDRESS(K42*2+2,3))),"",INDIRECT(ADDRESS(K42*2+2,3)))</f>
        <v>Бирюкова</v>
      </c>
      <c r="I42" s="76"/>
      <c r="J42" s="76"/>
      <c r="K42" s="27">
        <v>1</v>
      </c>
      <c r="L42" s="30" t="s">
        <v>6</v>
      </c>
      <c r="M42" s="25">
        <v>6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25" right="0.25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O18" sqref="O18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5" customWidth="1"/>
    <col min="14" max="15" width="10.28515625" customWidth="1"/>
  </cols>
  <sheetData>
    <row r="1" spans="2:13" ht="31.5" x14ac:dyDescent="0.25">
      <c r="B1" s="55" t="s">
        <v>14</v>
      </c>
      <c r="C1" s="55"/>
      <c r="D1" s="55"/>
      <c r="E1" s="55"/>
      <c r="F1" s="55"/>
      <c r="G1" s="55"/>
      <c r="H1" s="55"/>
      <c r="I1" s="55"/>
      <c r="J1" s="55"/>
      <c r="K1" s="55"/>
      <c r="L1" t="s">
        <v>12</v>
      </c>
      <c r="M1" s="32">
        <v>45318</v>
      </c>
    </row>
    <row r="2" spans="2:13" ht="15.75" thickBot="1" x14ac:dyDescent="0.3">
      <c r="M2"/>
    </row>
    <row r="3" spans="2:13" ht="15.75" thickBot="1" x14ac:dyDescent="0.3">
      <c r="B3" s="2"/>
      <c r="C3" s="56" t="s">
        <v>0</v>
      </c>
      <c r="D3" s="57"/>
      <c r="E3" s="58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3" t="s">
        <v>3</v>
      </c>
    </row>
    <row r="4" spans="2:13" ht="21" x14ac:dyDescent="0.25">
      <c r="B4" s="59">
        <v>1</v>
      </c>
      <c r="C4" s="89" t="s">
        <v>83</v>
      </c>
      <c r="D4" s="90"/>
      <c r="E4" s="91"/>
      <c r="F4" s="7" t="s">
        <v>4</v>
      </c>
      <c r="G4" s="8" t="str">
        <f ca="1">INDIRECT(ADDRESS(23,6))&amp;":"&amp;INDIRECT(ADDRESS(23,7))</f>
        <v>13:6</v>
      </c>
      <c r="H4" s="8" t="str">
        <f ca="1">INDIRECT(ADDRESS(26,7))&amp;":"&amp;INDIRECT(ADDRESS(26,6))</f>
        <v>9:10</v>
      </c>
      <c r="I4" s="8" t="str">
        <f ca="1">INDIRECT(ADDRESS(30,6))&amp;":"&amp;INDIRECT(ADDRESS(30,7))</f>
        <v>5:13</v>
      </c>
      <c r="J4" s="9" t="str">
        <f ca="1">INDIRECT(ADDRESS(35,7))&amp;":"&amp;INDIRECT(ADDRESS(35,6))</f>
        <v>1:12</v>
      </c>
      <c r="K4" s="92">
        <f ca="1">IF(COUNT(F5:J5)=0,"",COUNTIF(F5:J5,"&gt;0")+0.5*COUNTIF(F5:J5,0))</f>
        <v>1</v>
      </c>
      <c r="L4" s="10"/>
      <c r="M4" s="87">
        <v>5</v>
      </c>
    </row>
    <row r="5" spans="2:13" ht="21" x14ac:dyDescent="0.25">
      <c r="B5" s="60"/>
      <c r="C5" s="79"/>
      <c r="D5" s="80"/>
      <c r="E5" s="81"/>
      <c r="F5" s="11" t="s">
        <v>4</v>
      </c>
      <c r="G5" s="12">
        <f ca="1">IF(LEN(INDIRECT(ADDRESS(ROW()-1, COLUMN())))=1,"",INDIRECT(ADDRESS(23,6))-INDIRECT(ADDRESS(23,7)))</f>
        <v>7</v>
      </c>
      <c r="H5" s="12">
        <f ca="1">IF(LEN(INDIRECT(ADDRESS(ROW()-1, COLUMN())))=1,"",INDIRECT(ADDRESS(26,7))-INDIRECT(ADDRESS(26,6)))</f>
        <v>-1</v>
      </c>
      <c r="I5" s="12">
        <f ca="1">IF(LEN(INDIRECT(ADDRESS(ROW()-1, COLUMN())))=1,"",INDIRECT(ADDRESS(30,6))-INDIRECT(ADDRESS(30,7)))</f>
        <v>-8</v>
      </c>
      <c r="J5" s="13">
        <f ca="1">IF(LEN(INDIRECT(ADDRESS(ROW()-1, COLUMN())))=1,"",INDIRECT(ADDRESS(35,7))-INDIRECT(ADDRESS(35,6)))</f>
        <v>-11</v>
      </c>
      <c r="K5" s="93"/>
      <c r="L5" s="12">
        <f ca="1">IF(COUNT(F5:J5)=0,"",SUM(F5:J5))</f>
        <v>-13</v>
      </c>
      <c r="M5" s="88"/>
    </row>
    <row r="6" spans="2:13" ht="21" x14ac:dyDescent="0.25">
      <c r="B6" s="69">
        <v>2</v>
      </c>
      <c r="C6" s="64" t="s">
        <v>84</v>
      </c>
      <c r="D6" s="65"/>
      <c r="E6" s="66"/>
      <c r="F6" s="14" t="str">
        <f ca="1">INDIRECT(ADDRESS(23,7))&amp;":"&amp;INDIRECT(ADDRESS(23,6))</f>
        <v>6:13</v>
      </c>
      <c r="G6" s="15" t="s">
        <v>4</v>
      </c>
      <c r="H6" s="16" t="str">
        <f ca="1">INDIRECT(ADDRESS(31,6))&amp;":"&amp;INDIRECT(ADDRESS(31,7))</f>
        <v>11:10</v>
      </c>
      <c r="I6" s="16" t="str">
        <f ca="1">INDIRECT(ADDRESS(34,7))&amp;":"&amp;INDIRECT(ADDRESS(34,6))</f>
        <v>11:8</v>
      </c>
      <c r="J6" s="17" t="str">
        <f ca="1">INDIRECT(ADDRESS(18,6))&amp;":"&amp;INDIRECT(ADDRESS(18,7))</f>
        <v>9:13</v>
      </c>
      <c r="K6" s="93">
        <f ca="1">IF(COUNT(F7:J7)=0,"",COUNTIF(F7:J7,"&gt;0")+0.5*COUNTIF(F7:J7,0))</f>
        <v>2</v>
      </c>
      <c r="L6" s="12"/>
      <c r="M6" s="88">
        <v>2</v>
      </c>
    </row>
    <row r="7" spans="2:13" ht="21" x14ac:dyDescent="0.25">
      <c r="B7" s="60"/>
      <c r="C7" s="64"/>
      <c r="D7" s="65"/>
      <c r="E7" s="66"/>
      <c r="F7" s="18">
        <f ca="1">IF(LEN(INDIRECT(ADDRESS(ROW()-1, COLUMN())))=1,"",INDIRECT(ADDRESS(23,7))-INDIRECT(ADDRESS(23,6)))</f>
        <v>-7</v>
      </c>
      <c r="G7" s="19" t="s">
        <v>4</v>
      </c>
      <c r="H7" s="12">
        <f ca="1">IF(LEN(INDIRECT(ADDRESS(ROW()-1, COLUMN())))=1,"",INDIRECT(ADDRESS(31,6))-INDIRECT(ADDRESS(31,7)))</f>
        <v>1</v>
      </c>
      <c r="I7" s="12">
        <f ca="1">IF(LEN(INDIRECT(ADDRESS(ROW()-1, COLUMN())))=1,"",INDIRECT(ADDRESS(34,7))-INDIRECT(ADDRESS(34,6)))</f>
        <v>3</v>
      </c>
      <c r="J7" s="13">
        <f ca="1">IF(LEN(INDIRECT(ADDRESS(ROW()-1, COLUMN())))=1,"",INDIRECT(ADDRESS(18,6))-INDIRECT(ADDRESS(18,7)))</f>
        <v>-4</v>
      </c>
      <c r="K7" s="93"/>
      <c r="L7" s="12">
        <f ca="1">IF(COUNT(F7:J7)=0,"",SUM(F7:J7))</f>
        <v>-7</v>
      </c>
      <c r="M7" s="88"/>
    </row>
    <row r="8" spans="2:13" ht="21" x14ac:dyDescent="0.25">
      <c r="B8" s="69">
        <v>3</v>
      </c>
      <c r="C8" s="71" t="s">
        <v>85</v>
      </c>
      <c r="D8" s="72"/>
      <c r="E8" s="73"/>
      <c r="F8" s="14" t="str">
        <f ca="1">INDIRECT(ADDRESS(26,6))&amp;":"&amp;INDIRECT(ADDRESS(26,7))</f>
        <v>10:9</v>
      </c>
      <c r="G8" s="16" t="str">
        <f ca="1">INDIRECT(ADDRESS(31,7))&amp;":"&amp;INDIRECT(ADDRESS(31,6))</f>
        <v>10:11</v>
      </c>
      <c r="H8" s="15" t="s">
        <v>4</v>
      </c>
      <c r="I8" s="16" t="str">
        <f ca="1">INDIRECT(ADDRESS(19,6))&amp;":"&amp;INDIRECT(ADDRESS(19,7))</f>
        <v>13:10</v>
      </c>
      <c r="J8" s="17" t="str">
        <f ca="1">INDIRECT(ADDRESS(22,7))&amp;":"&amp;INDIRECT(ADDRESS(22,6))</f>
        <v>10:11</v>
      </c>
      <c r="K8" s="93">
        <f ca="1">IF(COUNT(F9:J9)=0,"",COUNTIF(F9:J9,"&gt;0")+0.5*COUNTIF(F9:J9,0))</f>
        <v>2</v>
      </c>
      <c r="L8" s="12"/>
      <c r="M8" s="88">
        <v>3</v>
      </c>
    </row>
    <row r="9" spans="2:13" ht="21" x14ac:dyDescent="0.25">
      <c r="B9" s="60"/>
      <c r="C9" s="71"/>
      <c r="D9" s="72"/>
      <c r="E9" s="73"/>
      <c r="F9" s="18">
        <f ca="1">IF(LEN(INDIRECT(ADDRESS(ROW()-1, COLUMN())))=1,"",INDIRECT(ADDRESS(26,6))-INDIRECT(ADDRESS(26,7)))</f>
        <v>1</v>
      </c>
      <c r="G9" s="12">
        <f ca="1">IF(LEN(INDIRECT(ADDRESS(ROW()-1, COLUMN())))=1,"",INDIRECT(ADDRESS(31,7))-INDIRECT(ADDRESS(31,6)))</f>
        <v>-1</v>
      </c>
      <c r="H9" s="19" t="s">
        <v>4</v>
      </c>
      <c r="I9" s="12">
        <f ca="1">IF(LEN(INDIRECT(ADDRESS(ROW()-1, COLUMN())))=1,"",INDIRECT(ADDRESS(19,6))-INDIRECT(ADDRESS(19,7)))</f>
        <v>3</v>
      </c>
      <c r="J9" s="13">
        <f ca="1">IF(LEN(INDIRECT(ADDRESS(ROW()-1, COLUMN())))=1,"",INDIRECT(ADDRESS(22,7))-INDIRECT(ADDRESS(22,6)))</f>
        <v>-1</v>
      </c>
      <c r="K9" s="93"/>
      <c r="L9" s="12">
        <f ca="1">IF(COUNT(F9:J9)=0,"",SUM(F9:J9))</f>
        <v>2</v>
      </c>
      <c r="M9" s="88"/>
    </row>
    <row r="10" spans="2:13" ht="21" x14ac:dyDescent="0.25">
      <c r="B10" s="69">
        <v>4</v>
      </c>
      <c r="C10" s="71" t="s">
        <v>86</v>
      </c>
      <c r="D10" s="72"/>
      <c r="E10" s="73"/>
      <c r="F10" s="14" t="str">
        <f ca="1">INDIRECT(ADDRESS(30,7))&amp;":"&amp;INDIRECT(ADDRESS(30,6))</f>
        <v>13:5</v>
      </c>
      <c r="G10" s="16" t="str">
        <f ca="1">INDIRECT(ADDRESS(34,6))&amp;":"&amp;INDIRECT(ADDRESS(34,7))</f>
        <v>8:11</v>
      </c>
      <c r="H10" s="16" t="str">
        <f ca="1">INDIRECT(ADDRESS(19,7))&amp;":"&amp;INDIRECT(ADDRESS(19,6))</f>
        <v>10:13</v>
      </c>
      <c r="I10" s="15" t="s">
        <v>4</v>
      </c>
      <c r="J10" s="17" t="str">
        <f ca="1">INDIRECT(ADDRESS(27,6))&amp;":"&amp;INDIRECT(ADDRESS(27,7))</f>
        <v>8:13</v>
      </c>
      <c r="K10" s="93">
        <f ca="1">IF(COUNT(F11:J11)=0,"",COUNTIF(F11:J11,"&gt;0")+0.5*COUNTIF(F11:J11,0))</f>
        <v>1</v>
      </c>
      <c r="L10" s="12"/>
      <c r="M10" s="88">
        <v>4</v>
      </c>
    </row>
    <row r="11" spans="2:13" ht="21" x14ac:dyDescent="0.25">
      <c r="B11" s="60"/>
      <c r="C11" s="71"/>
      <c r="D11" s="72"/>
      <c r="E11" s="73"/>
      <c r="F11" s="18">
        <f ca="1">IF(LEN(INDIRECT(ADDRESS(ROW()-1, COLUMN())))=1,"",INDIRECT(ADDRESS(30,7))-INDIRECT(ADDRESS(30,6)))</f>
        <v>8</v>
      </c>
      <c r="G11" s="12">
        <f ca="1">IF(LEN(INDIRECT(ADDRESS(ROW()-1, COLUMN())))=1,"",INDIRECT(ADDRESS(34,6))-INDIRECT(ADDRESS(34,7)))</f>
        <v>-3</v>
      </c>
      <c r="H11" s="12">
        <f ca="1">IF(LEN(INDIRECT(ADDRESS(ROW()-1, COLUMN())))=1,"",INDIRECT(ADDRESS(19,7))-INDIRECT(ADDRESS(19,6)))</f>
        <v>-3</v>
      </c>
      <c r="I11" s="19" t="s">
        <v>4</v>
      </c>
      <c r="J11" s="13">
        <f ca="1">IF(LEN(INDIRECT(ADDRESS(ROW()-1, COLUMN())))=1,"",INDIRECT(ADDRESS(27,6))-INDIRECT(ADDRESS(27,7)))</f>
        <v>-5</v>
      </c>
      <c r="K11" s="93"/>
      <c r="L11" s="12">
        <f ca="1">IF(COUNT(F11:J11)=0,"",SUM(F11:J11))</f>
        <v>-3</v>
      </c>
      <c r="M11" s="88"/>
    </row>
    <row r="12" spans="2:13" ht="21" x14ac:dyDescent="0.25">
      <c r="B12" s="69">
        <v>5</v>
      </c>
      <c r="C12" s="64" t="s">
        <v>87</v>
      </c>
      <c r="D12" s="65"/>
      <c r="E12" s="66"/>
      <c r="F12" s="14" t="str">
        <f ca="1">INDIRECT(ADDRESS(35,6))&amp;":"&amp;INDIRECT(ADDRESS(35,7))</f>
        <v>12:1</v>
      </c>
      <c r="G12" s="16" t="str">
        <f ca="1">INDIRECT(ADDRESS(18,7))&amp;":"&amp;INDIRECT(ADDRESS(18,6))</f>
        <v>13:9</v>
      </c>
      <c r="H12" s="16" t="str">
        <f ca="1">INDIRECT(ADDRESS(22,6))&amp;":"&amp;INDIRECT(ADDRESS(22,7))</f>
        <v>11:10</v>
      </c>
      <c r="I12" s="16" t="str">
        <f ca="1">INDIRECT(ADDRESS(27,7))&amp;":"&amp;INDIRECT(ADDRESS(27,6))</f>
        <v>13:8</v>
      </c>
      <c r="J12" s="20" t="s">
        <v>4</v>
      </c>
      <c r="K12" s="93">
        <f ca="1">IF(COUNT(F13:J13)=0,"",COUNTIF(F13:J13,"&gt;0")+0.5*COUNTIF(F13:J13,0))</f>
        <v>4</v>
      </c>
      <c r="L12" s="12"/>
      <c r="M12" s="88">
        <v>1</v>
      </c>
    </row>
    <row r="13" spans="2:13" ht="21.75" thickBot="1" x14ac:dyDescent="0.3">
      <c r="B13" s="82"/>
      <c r="C13" s="94"/>
      <c r="D13" s="95"/>
      <c r="E13" s="96"/>
      <c r="F13" s="21">
        <f ca="1">IF(LEN(INDIRECT(ADDRESS(ROW()-1, COLUMN())))=1,"",INDIRECT(ADDRESS(35,6))-INDIRECT(ADDRESS(35,7)))</f>
        <v>11</v>
      </c>
      <c r="G13" s="22">
        <f ca="1">IF(LEN(INDIRECT(ADDRESS(ROW()-1, COLUMN())))=1,"",INDIRECT(ADDRESS(18,7))-INDIRECT(ADDRESS(18,6)))</f>
        <v>4</v>
      </c>
      <c r="H13" s="22">
        <f ca="1">IF(LEN(INDIRECT(ADDRESS(ROW()-1, COLUMN())))=1,"",INDIRECT(ADDRESS(22,6))-INDIRECT(ADDRESS(22,7)))</f>
        <v>1</v>
      </c>
      <c r="I13" s="22">
        <f ca="1">IF(LEN(INDIRECT(ADDRESS(ROW()-1, COLUMN())))=1,"",INDIRECT(ADDRESS(27,7))-INDIRECT(ADDRESS(27,6)))</f>
        <v>5</v>
      </c>
      <c r="J13" s="23" t="s">
        <v>4</v>
      </c>
      <c r="K13" s="97"/>
      <c r="L13" s="22">
        <f ca="1">IF(COUNT(F13:J13)=0,"",SUM(F13:J13))</f>
        <v>21</v>
      </c>
      <c r="M13" s="98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26" customFormat="1" ht="21.75" thickBot="1" x14ac:dyDescent="0.4">
      <c r="A17" s="24"/>
      <c r="B17" s="75" t="s">
        <v>5</v>
      </c>
      <c r="C17" s="75"/>
      <c r="D17" s="75"/>
      <c r="E17" s="75"/>
      <c r="F17" s="75"/>
      <c r="G17" s="75"/>
      <c r="H17" s="75"/>
      <c r="I17" s="75"/>
      <c r="J17" s="75"/>
      <c r="K17" s="75"/>
      <c r="M17" s="34"/>
    </row>
    <row r="18" spans="1:13" s="26" customFormat="1" ht="21.75" thickBot="1" x14ac:dyDescent="0.4">
      <c r="A18" s="24"/>
      <c r="B18" s="27">
        <v>2</v>
      </c>
      <c r="C18" s="76" t="str">
        <f ca="1">IF(ISBLANK(INDIRECT(ADDRESS(B18*2+2,3))),"",INDIRECT(ADDRESS(B18*2+2,3)))</f>
        <v>Кондратова</v>
      </c>
      <c r="D18" s="76"/>
      <c r="E18" s="77"/>
      <c r="F18" s="28">
        <v>9</v>
      </c>
      <c r="G18" s="29">
        <v>13</v>
      </c>
      <c r="H18" s="78" t="str">
        <f ca="1">IF(ISBLANK(INDIRECT(ADDRESS(K18*2+2,3))),"",INDIRECT(ADDRESS(K18*2+2,3)))</f>
        <v>Пименова</v>
      </c>
      <c r="I18" s="76"/>
      <c r="J18" s="76"/>
      <c r="K18" s="27">
        <v>5</v>
      </c>
      <c r="L18" s="30" t="s">
        <v>6</v>
      </c>
      <c r="M18" s="25">
        <v>7</v>
      </c>
    </row>
    <row r="19" spans="1:13" s="26" customFormat="1" ht="21.75" thickBot="1" x14ac:dyDescent="0.4">
      <c r="A19" s="24"/>
      <c r="B19" s="27">
        <v>3</v>
      </c>
      <c r="C19" s="76" t="str">
        <f ca="1">IF(ISBLANK(INDIRECT(ADDRESS(B19*2+2,3))),"",INDIRECT(ADDRESS(B19*2+2,3)))</f>
        <v>Крошилова</v>
      </c>
      <c r="D19" s="76"/>
      <c r="E19" s="77"/>
      <c r="F19" s="28">
        <v>13</v>
      </c>
      <c r="G19" s="29">
        <v>10</v>
      </c>
      <c r="H19" s="78" t="str">
        <f ca="1">IF(ISBLANK(INDIRECT(ADDRESS(K19*2+2,3))),"",INDIRECT(ADDRESS(K19*2+2,3)))</f>
        <v>Баринова</v>
      </c>
      <c r="I19" s="76"/>
      <c r="J19" s="76"/>
      <c r="K19" s="27">
        <v>4</v>
      </c>
      <c r="L19" s="30" t="s">
        <v>6</v>
      </c>
      <c r="M19" s="25">
        <v>8</v>
      </c>
    </row>
    <row r="20" spans="1:13" s="26" customFormat="1" ht="21" x14ac:dyDescent="0.35">
      <c r="A20" s="24"/>
      <c r="M20" s="31"/>
    </row>
    <row r="21" spans="1:13" s="26" customFormat="1" ht="21.75" thickBot="1" x14ac:dyDescent="0.4">
      <c r="A21" s="24"/>
      <c r="B21" s="75" t="s">
        <v>7</v>
      </c>
      <c r="C21" s="75"/>
      <c r="D21" s="75"/>
      <c r="E21" s="75"/>
      <c r="F21" s="75"/>
      <c r="G21" s="75"/>
      <c r="H21" s="75"/>
      <c r="I21" s="75"/>
      <c r="J21" s="75"/>
      <c r="K21" s="75"/>
      <c r="M21" s="31"/>
    </row>
    <row r="22" spans="1:13" s="26" customFormat="1" ht="21.75" thickBot="1" x14ac:dyDescent="0.4">
      <c r="A22" s="24"/>
      <c r="B22" s="27">
        <v>5</v>
      </c>
      <c r="C22" s="76" t="str">
        <f ca="1">IF(ISBLANK(INDIRECT(ADDRESS(B22*2+2,3))),"",INDIRECT(ADDRESS(B22*2+2,3)))</f>
        <v>Пименова</v>
      </c>
      <c r="D22" s="76"/>
      <c r="E22" s="77"/>
      <c r="F22" s="28">
        <v>11</v>
      </c>
      <c r="G22" s="29">
        <v>10</v>
      </c>
      <c r="H22" s="78" t="str">
        <f ca="1">IF(ISBLANK(INDIRECT(ADDRESS(K22*2+2,3))),"",INDIRECT(ADDRESS(K22*2+2,3)))</f>
        <v>Крошилова</v>
      </c>
      <c r="I22" s="76"/>
      <c r="J22" s="76"/>
      <c r="K22" s="27">
        <v>3</v>
      </c>
      <c r="L22" s="30" t="s">
        <v>6</v>
      </c>
      <c r="M22" s="25">
        <v>10</v>
      </c>
    </row>
    <row r="23" spans="1:13" s="26" customFormat="1" ht="21.75" thickBot="1" x14ac:dyDescent="0.4">
      <c r="A23" s="24"/>
      <c r="B23" s="27">
        <v>1</v>
      </c>
      <c r="C23" s="76" t="str">
        <f ca="1">IF(ISBLANK(INDIRECT(ADDRESS(B23*2+2,3))),"",INDIRECT(ADDRESS(B23*2+2,3)))</f>
        <v>Дубовицкая</v>
      </c>
      <c r="D23" s="76"/>
      <c r="E23" s="77"/>
      <c r="F23" s="28">
        <v>13</v>
      </c>
      <c r="G23" s="29">
        <v>6</v>
      </c>
      <c r="H23" s="78" t="str">
        <f ca="1">IF(ISBLANK(INDIRECT(ADDRESS(K23*2+2,3))),"",INDIRECT(ADDRESS(K23*2+2,3)))</f>
        <v>Кондратова</v>
      </c>
      <c r="I23" s="76"/>
      <c r="J23" s="76"/>
      <c r="K23" s="27">
        <v>2</v>
      </c>
      <c r="L23" s="30" t="s">
        <v>6</v>
      </c>
      <c r="M23" s="25">
        <v>3</v>
      </c>
    </row>
    <row r="24" spans="1:13" s="26" customFormat="1" ht="21" x14ac:dyDescent="0.35">
      <c r="A24" s="24"/>
      <c r="M24" s="31"/>
    </row>
    <row r="25" spans="1:13" s="26" customFormat="1" ht="21.75" thickBot="1" x14ac:dyDescent="0.4">
      <c r="A25" s="24"/>
      <c r="B25" s="75" t="s">
        <v>8</v>
      </c>
      <c r="C25" s="75"/>
      <c r="D25" s="75"/>
      <c r="E25" s="75"/>
      <c r="F25" s="75"/>
      <c r="G25" s="75"/>
      <c r="H25" s="75"/>
      <c r="I25" s="75"/>
      <c r="J25" s="75"/>
      <c r="K25" s="75"/>
      <c r="M25" s="31"/>
    </row>
    <row r="26" spans="1:13" s="26" customFormat="1" ht="21.75" thickBot="1" x14ac:dyDescent="0.4">
      <c r="A26" s="24"/>
      <c r="B26" s="27">
        <v>3</v>
      </c>
      <c r="C26" s="76" t="str">
        <f ca="1">IF(ISBLANK(INDIRECT(ADDRESS(B26*2+2,3))),"",INDIRECT(ADDRESS(B26*2+2,3)))</f>
        <v>Крошилова</v>
      </c>
      <c r="D26" s="76"/>
      <c r="E26" s="77"/>
      <c r="F26" s="28">
        <v>10</v>
      </c>
      <c r="G26" s="29">
        <v>9</v>
      </c>
      <c r="H26" s="78" t="str">
        <f ca="1">IF(ISBLANK(INDIRECT(ADDRESS(K26*2+2,3))),"",INDIRECT(ADDRESS(K26*2+2,3)))</f>
        <v>Дубовицкая</v>
      </c>
      <c r="I26" s="76"/>
      <c r="J26" s="76"/>
      <c r="K26" s="27">
        <v>1</v>
      </c>
      <c r="L26" s="30" t="s">
        <v>6</v>
      </c>
      <c r="M26" s="25">
        <v>5</v>
      </c>
    </row>
    <row r="27" spans="1:13" s="26" customFormat="1" ht="21.75" thickBot="1" x14ac:dyDescent="0.4">
      <c r="A27" s="24"/>
      <c r="B27" s="27">
        <v>4</v>
      </c>
      <c r="C27" s="76" t="str">
        <f ca="1">IF(ISBLANK(INDIRECT(ADDRESS(B27*2+2,3))),"",INDIRECT(ADDRESS(B27*2+2,3)))</f>
        <v>Баринова</v>
      </c>
      <c r="D27" s="76"/>
      <c r="E27" s="77"/>
      <c r="F27" s="28">
        <v>8</v>
      </c>
      <c r="G27" s="29">
        <v>13</v>
      </c>
      <c r="H27" s="78" t="str">
        <f ca="1">IF(ISBLANK(INDIRECT(ADDRESS(K27*2+2,3))),"",INDIRECT(ADDRESS(K27*2+2,3)))</f>
        <v>Пименова</v>
      </c>
      <c r="I27" s="76"/>
      <c r="J27" s="76"/>
      <c r="K27" s="27">
        <v>5</v>
      </c>
      <c r="L27" s="30" t="s">
        <v>6</v>
      </c>
      <c r="M27" s="25">
        <v>6</v>
      </c>
    </row>
    <row r="28" spans="1:13" s="26" customFormat="1" ht="21" x14ac:dyDescent="0.35">
      <c r="A28" s="24"/>
      <c r="M28" s="31"/>
    </row>
    <row r="29" spans="1:13" s="26" customFormat="1" ht="21.75" thickBot="1" x14ac:dyDescent="0.4">
      <c r="A29" s="24"/>
      <c r="B29" s="75" t="s">
        <v>9</v>
      </c>
      <c r="C29" s="75"/>
      <c r="D29" s="75"/>
      <c r="E29" s="75"/>
      <c r="F29" s="75"/>
      <c r="G29" s="75"/>
      <c r="H29" s="75"/>
      <c r="I29" s="75"/>
      <c r="J29" s="75"/>
      <c r="K29" s="75"/>
      <c r="M29" s="31"/>
    </row>
    <row r="30" spans="1:13" s="26" customFormat="1" ht="21.75" thickBot="1" x14ac:dyDescent="0.4">
      <c r="A30" s="24"/>
      <c r="B30" s="27">
        <v>1</v>
      </c>
      <c r="C30" s="76" t="str">
        <f ca="1">IF(ISBLANK(INDIRECT(ADDRESS(B30*2+2,3))),"",INDIRECT(ADDRESS(B30*2+2,3)))</f>
        <v>Дубовицкая</v>
      </c>
      <c r="D30" s="76"/>
      <c r="E30" s="77"/>
      <c r="F30" s="28">
        <v>5</v>
      </c>
      <c r="G30" s="29">
        <v>13</v>
      </c>
      <c r="H30" s="78" t="str">
        <f ca="1">IF(ISBLANK(INDIRECT(ADDRESS(K30*2+2,3))),"",INDIRECT(ADDRESS(K30*2+2,3)))</f>
        <v>Баринова</v>
      </c>
      <c r="I30" s="76"/>
      <c r="J30" s="76"/>
      <c r="K30" s="27">
        <v>4</v>
      </c>
      <c r="L30" s="30" t="s">
        <v>6</v>
      </c>
      <c r="M30" s="25">
        <v>9</v>
      </c>
    </row>
    <row r="31" spans="1:13" s="26" customFormat="1" ht="21.75" thickBot="1" x14ac:dyDescent="0.4">
      <c r="A31" s="24"/>
      <c r="B31" s="27">
        <v>2</v>
      </c>
      <c r="C31" s="76" t="str">
        <f ca="1">IF(ISBLANK(INDIRECT(ADDRESS(B31*2+2,3))),"",INDIRECT(ADDRESS(B31*2+2,3)))</f>
        <v>Кондратова</v>
      </c>
      <c r="D31" s="76"/>
      <c r="E31" s="77"/>
      <c r="F31" s="28">
        <v>11</v>
      </c>
      <c r="G31" s="29">
        <v>10</v>
      </c>
      <c r="H31" s="78" t="str">
        <f ca="1">IF(ISBLANK(INDIRECT(ADDRESS(K31*2+2,3))),"",INDIRECT(ADDRESS(K31*2+2,3)))</f>
        <v>Крошилова</v>
      </c>
      <c r="I31" s="76"/>
      <c r="J31" s="76"/>
      <c r="K31" s="27">
        <v>3</v>
      </c>
      <c r="L31" s="30" t="s">
        <v>6</v>
      </c>
      <c r="M31" s="25">
        <v>6</v>
      </c>
    </row>
    <row r="32" spans="1:13" s="26" customFormat="1" ht="21" x14ac:dyDescent="0.35">
      <c r="A32" s="24"/>
      <c r="M32" s="31"/>
    </row>
    <row r="33" spans="1:13" s="26" customFormat="1" ht="21.75" thickBot="1" x14ac:dyDescent="0.4">
      <c r="A33" s="24"/>
      <c r="B33" s="75" t="s">
        <v>10</v>
      </c>
      <c r="C33" s="75"/>
      <c r="D33" s="75"/>
      <c r="E33" s="75"/>
      <c r="F33" s="75"/>
      <c r="G33" s="75"/>
      <c r="H33" s="75"/>
      <c r="I33" s="75"/>
      <c r="J33" s="75"/>
      <c r="K33" s="75"/>
      <c r="M33" s="31"/>
    </row>
    <row r="34" spans="1:13" s="26" customFormat="1" ht="21.75" thickBot="1" x14ac:dyDescent="0.4">
      <c r="A34" s="24"/>
      <c r="B34" s="27">
        <v>4</v>
      </c>
      <c r="C34" s="76" t="str">
        <f ca="1">IF(ISBLANK(INDIRECT(ADDRESS(B34*2+2,3))),"",INDIRECT(ADDRESS(B34*2+2,3)))</f>
        <v>Баринова</v>
      </c>
      <c r="D34" s="76"/>
      <c r="E34" s="77"/>
      <c r="F34" s="28">
        <v>8</v>
      </c>
      <c r="G34" s="29">
        <v>11</v>
      </c>
      <c r="H34" s="78" t="str">
        <f ca="1">IF(ISBLANK(INDIRECT(ADDRESS(K34*2+2,3))),"",INDIRECT(ADDRESS(K34*2+2,3)))</f>
        <v>Кондратова</v>
      </c>
      <c r="I34" s="76"/>
      <c r="J34" s="76"/>
      <c r="K34" s="27">
        <v>2</v>
      </c>
      <c r="L34" s="30" t="s">
        <v>6</v>
      </c>
      <c r="M34" s="25">
        <v>1</v>
      </c>
    </row>
    <row r="35" spans="1:13" s="26" customFormat="1" ht="21.75" thickBot="1" x14ac:dyDescent="0.4">
      <c r="A35" s="24"/>
      <c r="B35" s="27">
        <v>5</v>
      </c>
      <c r="C35" s="76" t="str">
        <f ca="1">IF(ISBLANK(INDIRECT(ADDRESS(B35*2+2,3))),"",INDIRECT(ADDRESS(B35*2+2,3)))</f>
        <v>Пименова</v>
      </c>
      <c r="D35" s="76"/>
      <c r="E35" s="77"/>
      <c r="F35" s="28">
        <v>12</v>
      </c>
      <c r="G35" s="29">
        <v>1</v>
      </c>
      <c r="H35" s="78" t="str">
        <f ca="1">IF(ISBLANK(INDIRECT(ADDRESS(K35*2+2,3))),"",INDIRECT(ADDRESS(K35*2+2,3)))</f>
        <v>Дубовицкая</v>
      </c>
      <c r="I35" s="76"/>
      <c r="J35" s="76"/>
      <c r="K35" s="27">
        <v>1</v>
      </c>
      <c r="L35" s="30" t="s">
        <v>6</v>
      </c>
      <c r="M35" s="25">
        <v>2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25" right="0.25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E16" sqref="E16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5" customWidth="1"/>
    <col min="14" max="15" width="10.28515625" customWidth="1"/>
  </cols>
  <sheetData>
    <row r="1" spans="2:13" ht="31.5" x14ac:dyDescent="0.25"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  <c r="L1" t="s">
        <v>12</v>
      </c>
      <c r="M1" s="32">
        <v>45318</v>
      </c>
    </row>
    <row r="2" spans="2:13" ht="15.75" thickBot="1" x14ac:dyDescent="0.3">
      <c r="M2"/>
    </row>
    <row r="3" spans="2:13" ht="15.75" thickBot="1" x14ac:dyDescent="0.3">
      <c r="B3" s="2"/>
      <c r="C3" s="56" t="s">
        <v>0</v>
      </c>
      <c r="D3" s="57"/>
      <c r="E3" s="58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3" t="s">
        <v>3</v>
      </c>
    </row>
    <row r="4" spans="2:13" ht="21" x14ac:dyDescent="0.25">
      <c r="B4" s="59">
        <v>1</v>
      </c>
      <c r="C4" s="89" t="s">
        <v>88</v>
      </c>
      <c r="D4" s="90"/>
      <c r="E4" s="91"/>
      <c r="F4" s="7" t="s">
        <v>4</v>
      </c>
      <c r="G4" s="8" t="str">
        <f ca="1">INDIRECT(ADDRESS(23,6))&amp;":"&amp;INDIRECT(ADDRESS(23,7))</f>
        <v>7:13</v>
      </c>
      <c r="H4" s="8" t="str">
        <f ca="1">INDIRECT(ADDRESS(26,7))&amp;":"&amp;INDIRECT(ADDRESS(26,6))</f>
        <v>8:11</v>
      </c>
      <c r="I4" s="8" t="str">
        <f ca="1">INDIRECT(ADDRESS(30,6))&amp;":"&amp;INDIRECT(ADDRESS(30,7))</f>
        <v>12:13</v>
      </c>
      <c r="J4" s="9" t="str">
        <f ca="1">INDIRECT(ADDRESS(35,7))&amp;":"&amp;INDIRECT(ADDRESS(35,6))</f>
        <v>5:13</v>
      </c>
      <c r="K4" s="92">
        <f ca="1">IF(COUNT(F5:J5)=0,"",COUNTIF(F5:J5,"&gt;0")+0.5*COUNTIF(F5:J5,0))</f>
        <v>0</v>
      </c>
      <c r="L4" s="10"/>
      <c r="M4" s="87">
        <v>5</v>
      </c>
    </row>
    <row r="5" spans="2:13" ht="21" x14ac:dyDescent="0.25">
      <c r="B5" s="60"/>
      <c r="C5" s="79"/>
      <c r="D5" s="80"/>
      <c r="E5" s="81"/>
      <c r="F5" s="11" t="s">
        <v>4</v>
      </c>
      <c r="G5" s="12">
        <f ca="1">IF(LEN(INDIRECT(ADDRESS(ROW()-1, COLUMN())))=1,"",INDIRECT(ADDRESS(23,6))-INDIRECT(ADDRESS(23,7)))</f>
        <v>-6</v>
      </c>
      <c r="H5" s="12">
        <f ca="1">IF(LEN(INDIRECT(ADDRESS(ROW()-1, COLUMN())))=1,"",INDIRECT(ADDRESS(26,7))-INDIRECT(ADDRESS(26,6)))</f>
        <v>-3</v>
      </c>
      <c r="I5" s="12">
        <f ca="1">IF(LEN(INDIRECT(ADDRESS(ROW()-1, COLUMN())))=1,"",INDIRECT(ADDRESS(30,6))-INDIRECT(ADDRESS(30,7)))</f>
        <v>-1</v>
      </c>
      <c r="J5" s="13">
        <f ca="1">IF(LEN(INDIRECT(ADDRESS(ROW()-1, COLUMN())))=1,"",INDIRECT(ADDRESS(35,7))-INDIRECT(ADDRESS(35,6)))</f>
        <v>-8</v>
      </c>
      <c r="K5" s="93"/>
      <c r="L5" s="12">
        <f ca="1">IF(COUNT(F5:J5)=0,"",SUM(F5:J5))</f>
        <v>-18</v>
      </c>
      <c r="M5" s="88"/>
    </row>
    <row r="6" spans="2:13" ht="21" x14ac:dyDescent="0.25">
      <c r="B6" s="69">
        <v>2</v>
      </c>
      <c r="C6" s="64" t="s">
        <v>89</v>
      </c>
      <c r="D6" s="65"/>
      <c r="E6" s="66"/>
      <c r="F6" s="14" t="str">
        <f ca="1">INDIRECT(ADDRESS(23,7))&amp;":"&amp;INDIRECT(ADDRESS(23,6))</f>
        <v>13:7</v>
      </c>
      <c r="G6" s="15" t="s">
        <v>4</v>
      </c>
      <c r="H6" s="16" t="str">
        <f ca="1">INDIRECT(ADDRESS(31,6))&amp;":"&amp;INDIRECT(ADDRESS(31,7))</f>
        <v>13:2</v>
      </c>
      <c r="I6" s="16" t="str">
        <f ca="1">INDIRECT(ADDRESS(34,7))&amp;":"&amp;INDIRECT(ADDRESS(34,6))</f>
        <v>13:10</v>
      </c>
      <c r="J6" s="17" t="str">
        <f ca="1">INDIRECT(ADDRESS(18,6))&amp;":"&amp;INDIRECT(ADDRESS(18,7))</f>
        <v>13:4</v>
      </c>
      <c r="K6" s="93">
        <f ca="1">IF(COUNT(F7:J7)=0,"",COUNTIF(F7:J7,"&gt;0")+0.5*COUNTIF(F7:J7,0))</f>
        <v>4</v>
      </c>
      <c r="L6" s="12"/>
      <c r="M6" s="88">
        <v>1</v>
      </c>
    </row>
    <row r="7" spans="2:13" ht="21" x14ac:dyDescent="0.25">
      <c r="B7" s="60"/>
      <c r="C7" s="64"/>
      <c r="D7" s="65"/>
      <c r="E7" s="66"/>
      <c r="F7" s="18">
        <f ca="1">IF(LEN(INDIRECT(ADDRESS(ROW()-1, COLUMN())))=1,"",INDIRECT(ADDRESS(23,7))-INDIRECT(ADDRESS(23,6)))</f>
        <v>6</v>
      </c>
      <c r="G7" s="19" t="s">
        <v>4</v>
      </c>
      <c r="H7" s="12">
        <f ca="1">IF(LEN(INDIRECT(ADDRESS(ROW()-1, COLUMN())))=1,"",INDIRECT(ADDRESS(31,6))-INDIRECT(ADDRESS(31,7)))</f>
        <v>11</v>
      </c>
      <c r="I7" s="12">
        <f ca="1">IF(LEN(INDIRECT(ADDRESS(ROW()-1, COLUMN())))=1,"",INDIRECT(ADDRESS(34,7))-INDIRECT(ADDRESS(34,6)))</f>
        <v>3</v>
      </c>
      <c r="J7" s="13">
        <f ca="1">IF(LEN(INDIRECT(ADDRESS(ROW()-1, COLUMN())))=1,"",INDIRECT(ADDRESS(18,6))-INDIRECT(ADDRESS(18,7)))</f>
        <v>9</v>
      </c>
      <c r="K7" s="93"/>
      <c r="L7" s="12">
        <f ca="1">IF(COUNT(F7:J7)=0,"",SUM(F7:J7))</f>
        <v>29</v>
      </c>
      <c r="M7" s="88"/>
    </row>
    <row r="8" spans="2:13" ht="21" x14ac:dyDescent="0.25">
      <c r="B8" s="69">
        <v>3</v>
      </c>
      <c r="C8" s="99" t="s">
        <v>90</v>
      </c>
      <c r="D8" s="100"/>
      <c r="E8" s="101"/>
      <c r="F8" s="14" t="str">
        <f ca="1">INDIRECT(ADDRESS(26,6))&amp;":"&amp;INDIRECT(ADDRESS(26,7))</f>
        <v>11:8</v>
      </c>
      <c r="G8" s="16" t="str">
        <f ca="1">INDIRECT(ADDRESS(31,7))&amp;":"&amp;INDIRECT(ADDRESS(31,6))</f>
        <v>2:13</v>
      </c>
      <c r="H8" s="15" t="s">
        <v>4</v>
      </c>
      <c r="I8" s="16" t="str">
        <f ca="1">INDIRECT(ADDRESS(19,6))&amp;":"&amp;INDIRECT(ADDRESS(19,7))</f>
        <v>5:13</v>
      </c>
      <c r="J8" s="17" t="str">
        <f ca="1">INDIRECT(ADDRESS(22,7))&amp;":"&amp;INDIRECT(ADDRESS(22,6))</f>
        <v>13:8</v>
      </c>
      <c r="K8" s="93">
        <f ca="1">IF(COUNT(F9:J9)=0,"",COUNTIF(F9:J9,"&gt;0")+0.5*COUNTIF(F9:J9,0))</f>
        <v>2</v>
      </c>
      <c r="L8" s="12"/>
      <c r="M8" s="88">
        <v>3</v>
      </c>
    </row>
    <row r="9" spans="2:13" ht="21" x14ac:dyDescent="0.25">
      <c r="B9" s="60"/>
      <c r="C9" s="99"/>
      <c r="D9" s="100"/>
      <c r="E9" s="101"/>
      <c r="F9" s="18">
        <f ca="1">IF(LEN(INDIRECT(ADDRESS(ROW()-1, COLUMN())))=1,"",INDIRECT(ADDRESS(26,6))-INDIRECT(ADDRESS(26,7)))</f>
        <v>3</v>
      </c>
      <c r="G9" s="12">
        <f ca="1">IF(LEN(INDIRECT(ADDRESS(ROW()-1, COLUMN())))=1,"",INDIRECT(ADDRESS(31,7))-INDIRECT(ADDRESS(31,6)))</f>
        <v>-11</v>
      </c>
      <c r="H9" s="19" t="s">
        <v>4</v>
      </c>
      <c r="I9" s="12">
        <f ca="1">IF(LEN(INDIRECT(ADDRESS(ROW()-1, COLUMN())))=1,"",INDIRECT(ADDRESS(19,6))-INDIRECT(ADDRESS(19,7)))</f>
        <v>-8</v>
      </c>
      <c r="J9" s="13">
        <f ca="1">IF(LEN(INDIRECT(ADDRESS(ROW()-1, COLUMN())))=1,"",INDIRECT(ADDRESS(22,7))-INDIRECT(ADDRESS(22,6)))</f>
        <v>5</v>
      </c>
      <c r="K9" s="93"/>
      <c r="L9" s="12">
        <f ca="1">IF(COUNT(F9:J9)=0,"",SUM(F9:J9))</f>
        <v>-11</v>
      </c>
      <c r="M9" s="88"/>
    </row>
    <row r="10" spans="2:13" ht="21" x14ac:dyDescent="0.25">
      <c r="B10" s="69">
        <v>4</v>
      </c>
      <c r="C10" s="64" t="s">
        <v>91</v>
      </c>
      <c r="D10" s="65"/>
      <c r="E10" s="66"/>
      <c r="F10" s="14" t="str">
        <f ca="1">INDIRECT(ADDRESS(30,7))&amp;":"&amp;INDIRECT(ADDRESS(30,6))</f>
        <v>13:12</v>
      </c>
      <c r="G10" s="16" t="str">
        <f ca="1">INDIRECT(ADDRESS(34,6))&amp;":"&amp;INDIRECT(ADDRESS(34,7))</f>
        <v>10:13</v>
      </c>
      <c r="H10" s="16" t="str">
        <f ca="1">INDIRECT(ADDRESS(19,7))&amp;":"&amp;INDIRECT(ADDRESS(19,6))</f>
        <v>13:5</v>
      </c>
      <c r="I10" s="15" t="s">
        <v>4</v>
      </c>
      <c r="J10" s="17" t="str">
        <f ca="1">INDIRECT(ADDRESS(27,6))&amp;":"&amp;INDIRECT(ADDRESS(27,7))</f>
        <v>13:10</v>
      </c>
      <c r="K10" s="93">
        <f ca="1">IF(COUNT(F11:J11)=0,"",COUNTIF(F11:J11,"&gt;0")+0.5*COUNTIF(F11:J11,0))</f>
        <v>3</v>
      </c>
      <c r="L10" s="12"/>
      <c r="M10" s="88">
        <v>2</v>
      </c>
    </row>
    <row r="11" spans="2:13" ht="21" x14ac:dyDescent="0.25">
      <c r="B11" s="60"/>
      <c r="C11" s="64"/>
      <c r="D11" s="65"/>
      <c r="E11" s="66"/>
      <c r="F11" s="18">
        <f ca="1">IF(LEN(INDIRECT(ADDRESS(ROW()-1, COLUMN())))=1,"",INDIRECT(ADDRESS(30,7))-INDIRECT(ADDRESS(30,6)))</f>
        <v>1</v>
      </c>
      <c r="G11" s="12">
        <f ca="1">IF(LEN(INDIRECT(ADDRESS(ROW()-1, COLUMN())))=1,"",INDIRECT(ADDRESS(34,6))-INDIRECT(ADDRESS(34,7)))</f>
        <v>-3</v>
      </c>
      <c r="H11" s="12">
        <f ca="1">IF(LEN(INDIRECT(ADDRESS(ROW()-1, COLUMN())))=1,"",INDIRECT(ADDRESS(19,7))-INDIRECT(ADDRESS(19,6)))</f>
        <v>8</v>
      </c>
      <c r="I11" s="19" t="s">
        <v>4</v>
      </c>
      <c r="J11" s="13">
        <f ca="1">IF(LEN(INDIRECT(ADDRESS(ROW()-1, COLUMN())))=1,"",INDIRECT(ADDRESS(27,6))-INDIRECT(ADDRESS(27,7)))</f>
        <v>3</v>
      </c>
      <c r="K11" s="93"/>
      <c r="L11" s="12">
        <f ca="1">IF(COUNT(F11:J11)=0,"",SUM(F11:J11))</f>
        <v>9</v>
      </c>
      <c r="M11" s="88"/>
    </row>
    <row r="12" spans="2:13" ht="21" x14ac:dyDescent="0.25">
      <c r="B12" s="69">
        <v>5</v>
      </c>
      <c r="C12" s="71" t="s">
        <v>92</v>
      </c>
      <c r="D12" s="72"/>
      <c r="E12" s="73"/>
      <c r="F12" s="14" t="str">
        <f ca="1">INDIRECT(ADDRESS(35,6))&amp;":"&amp;INDIRECT(ADDRESS(35,7))</f>
        <v>13:5</v>
      </c>
      <c r="G12" s="16" t="str">
        <f ca="1">INDIRECT(ADDRESS(18,7))&amp;":"&amp;INDIRECT(ADDRESS(18,6))</f>
        <v>4:13</v>
      </c>
      <c r="H12" s="16" t="str">
        <f ca="1">INDIRECT(ADDRESS(22,6))&amp;":"&amp;INDIRECT(ADDRESS(22,7))</f>
        <v>8:13</v>
      </c>
      <c r="I12" s="16" t="str">
        <f ca="1">INDIRECT(ADDRESS(27,7))&amp;":"&amp;INDIRECT(ADDRESS(27,6))</f>
        <v>10:13</v>
      </c>
      <c r="J12" s="20" t="s">
        <v>4</v>
      </c>
      <c r="K12" s="93">
        <f ca="1">IF(COUNT(F13:J13)=0,"",COUNTIF(F13:J13,"&gt;0")+0.5*COUNTIF(F13:J13,0))</f>
        <v>1</v>
      </c>
      <c r="L12" s="12"/>
      <c r="M12" s="88">
        <v>4</v>
      </c>
    </row>
    <row r="13" spans="2:13" ht="21.75" thickBot="1" x14ac:dyDescent="0.3">
      <c r="B13" s="82"/>
      <c r="C13" s="83"/>
      <c r="D13" s="84"/>
      <c r="E13" s="85"/>
      <c r="F13" s="21">
        <f ca="1">IF(LEN(INDIRECT(ADDRESS(ROW()-1, COLUMN())))=1,"",INDIRECT(ADDRESS(35,6))-INDIRECT(ADDRESS(35,7)))</f>
        <v>8</v>
      </c>
      <c r="G13" s="22">
        <f ca="1">IF(LEN(INDIRECT(ADDRESS(ROW()-1, COLUMN())))=1,"",INDIRECT(ADDRESS(18,7))-INDIRECT(ADDRESS(18,6)))</f>
        <v>-9</v>
      </c>
      <c r="H13" s="22">
        <f ca="1">IF(LEN(INDIRECT(ADDRESS(ROW()-1, COLUMN())))=1,"",INDIRECT(ADDRESS(22,6))-INDIRECT(ADDRESS(22,7)))</f>
        <v>-5</v>
      </c>
      <c r="I13" s="22">
        <f ca="1">IF(LEN(INDIRECT(ADDRESS(ROW()-1, COLUMN())))=1,"",INDIRECT(ADDRESS(27,7))-INDIRECT(ADDRESS(27,6)))</f>
        <v>-3</v>
      </c>
      <c r="J13" s="23" t="s">
        <v>4</v>
      </c>
      <c r="K13" s="97"/>
      <c r="L13" s="22">
        <f ca="1">IF(COUNT(F13:J13)=0,"",SUM(F13:J13))</f>
        <v>-9</v>
      </c>
      <c r="M13" s="98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26" customFormat="1" ht="21.75" thickBot="1" x14ac:dyDescent="0.4">
      <c r="A17" s="24"/>
      <c r="B17" s="75" t="s">
        <v>5</v>
      </c>
      <c r="C17" s="75"/>
      <c r="D17" s="75"/>
      <c r="E17" s="75"/>
      <c r="F17" s="75"/>
      <c r="G17" s="75"/>
      <c r="H17" s="75"/>
      <c r="I17" s="75"/>
      <c r="J17" s="75"/>
      <c r="K17" s="75"/>
      <c r="M17" s="34"/>
    </row>
    <row r="18" spans="1:13" s="26" customFormat="1" ht="21.75" thickBot="1" x14ac:dyDescent="0.4">
      <c r="A18" s="24"/>
      <c r="B18" s="27">
        <v>2</v>
      </c>
      <c r="C18" s="76" t="str">
        <f ca="1">IF(ISBLANK(INDIRECT(ADDRESS(B18*2+2,3))),"",INDIRECT(ADDRESS(B18*2+2,3)))</f>
        <v>Полякова</v>
      </c>
      <c r="D18" s="76"/>
      <c r="E18" s="77"/>
      <c r="F18" s="28">
        <v>13</v>
      </c>
      <c r="G18" s="29">
        <v>4</v>
      </c>
      <c r="H18" s="78" t="str">
        <f ca="1">IF(ISBLANK(INDIRECT(ADDRESS(K18*2+2,3))),"",INDIRECT(ADDRESS(K18*2+2,3)))</f>
        <v>Скляр</v>
      </c>
      <c r="I18" s="76"/>
      <c r="J18" s="76"/>
      <c r="K18" s="27">
        <v>5</v>
      </c>
      <c r="L18" s="30" t="s">
        <v>6</v>
      </c>
      <c r="M18" s="25">
        <v>9</v>
      </c>
    </row>
    <row r="19" spans="1:13" s="26" customFormat="1" ht="21.75" thickBot="1" x14ac:dyDescent="0.4">
      <c r="A19" s="24"/>
      <c r="B19" s="27">
        <v>3</v>
      </c>
      <c r="C19" s="76" t="str">
        <f ca="1">IF(ISBLANK(INDIRECT(ADDRESS(B19*2+2,3))),"",INDIRECT(ADDRESS(B19*2+2,3)))</f>
        <v>Петрушко</v>
      </c>
      <c r="D19" s="76"/>
      <c r="E19" s="77"/>
      <c r="F19" s="28">
        <v>5</v>
      </c>
      <c r="G19" s="29">
        <v>13</v>
      </c>
      <c r="H19" s="78" t="str">
        <f ca="1">IF(ISBLANK(INDIRECT(ADDRESS(K19*2+2,3))),"",INDIRECT(ADDRESS(K19*2+2,3)))</f>
        <v>Бублик</v>
      </c>
      <c r="I19" s="76"/>
      <c r="J19" s="76"/>
      <c r="K19" s="27">
        <v>4</v>
      </c>
      <c r="L19" s="30" t="s">
        <v>6</v>
      </c>
      <c r="M19" s="25">
        <v>10</v>
      </c>
    </row>
    <row r="20" spans="1:13" s="26" customFormat="1" ht="21" x14ac:dyDescent="0.35">
      <c r="A20" s="24"/>
      <c r="M20" s="31"/>
    </row>
    <row r="21" spans="1:13" s="26" customFormat="1" ht="21.75" thickBot="1" x14ac:dyDescent="0.4">
      <c r="A21" s="24"/>
      <c r="B21" s="75" t="s">
        <v>7</v>
      </c>
      <c r="C21" s="75"/>
      <c r="D21" s="75"/>
      <c r="E21" s="75"/>
      <c r="F21" s="75"/>
      <c r="G21" s="75"/>
      <c r="H21" s="75"/>
      <c r="I21" s="75"/>
      <c r="J21" s="75"/>
      <c r="K21" s="75"/>
      <c r="M21" s="31"/>
    </row>
    <row r="22" spans="1:13" s="26" customFormat="1" ht="21.75" thickBot="1" x14ac:dyDescent="0.4">
      <c r="A22" s="24"/>
      <c r="B22" s="27">
        <v>5</v>
      </c>
      <c r="C22" s="76" t="str">
        <f ca="1">IF(ISBLANK(INDIRECT(ADDRESS(B22*2+2,3))),"",INDIRECT(ADDRESS(B22*2+2,3)))</f>
        <v>Скляр</v>
      </c>
      <c r="D22" s="76"/>
      <c r="E22" s="77"/>
      <c r="F22" s="28">
        <v>8</v>
      </c>
      <c r="G22" s="29">
        <v>13</v>
      </c>
      <c r="H22" s="78" t="str">
        <f ca="1">IF(ISBLANK(INDIRECT(ADDRESS(K22*2+2,3))),"",INDIRECT(ADDRESS(K22*2+2,3)))</f>
        <v>Петрушко</v>
      </c>
      <c r="I22" s="76"/>
      <c r="J22" s="76"/>
      <c r="K22" s="27">
        <v>3</v>
      </c>
      <c r="L22" s="30" t="s">
        <v>6</v>
      </c>
      <c r="M22" s="25">
        <v>1</v>
      </c>
    </row>
    <row r="23" spans="1:13" s="26" customFormat="1" ht="21.75" thickBot="1" x14ac:dyDescent="0.4">
      <c r="A23" s="24"/>
      <c r="B23" s="27">
        <v>1</v>
      </c>
      <c r="C23" s="76" t="str">
        <f ca="1">IF(ISBLANK(INDIRECT(ADDRESS(B23*2+2,3))),"",INDIRECT(ADDRESS(B23*2+2,3)))</f>
        <v>Кайтукова</v>
      </c>
      <c r="D23" s="76"/>
      <c r="E23" s="77"/>
      <c r="F23" s="28">
        <v>7</v>
      </c>
      <c r="G23" s="29">
        <v>13</v>
      </c>
      <c r="H23" s="78" t="str">
        <f ca="1">IF(ISBLANK(INDIRECT(ADDRESS(K23*2+2,3))),"",INDIRECT(ADDRESS(K23*2+2,3)))</f>
        <v>Полякова</v>
      </c>
      <c r="I23" s="76"/>
      <c r="J23" s="76"/>
      <c r="K23" s="27">
        <v>2</v>
      </c>
      <c r="L23" s="30" t="s">
        <v>6</v>
      </c>
      <c r="M23" s="25">
        <v>2</v>
      </c>
    </row>
    <row r="24" spans="1:13" s="26" customFormat="1" ht="21" x14ac:dyDescent="0.35">
      <c r="A24" s="24"/>
      <c r="I24" s="26" t="s">
        <v>94</v>
      </c>
      <c r="M24" s="31"/>
    </row>
    <row r="25" spans="1:13" s="26" customFormat="1" ht="21.75" thickBot="1" x14ac:dyDescent="0.4">
      <c r="A25" s="24"/>
      <c r="B25" s="75" t="s">
        <v>8</v>
      </c>
      <c r="C25" s="75"/>
      <c r="D25" s="75"/>
      <c r="E25" s="75"/>
      <c r="F25" s="75"/>
      <c r="G25" s="75"/>
      <c r="H25" s="75"/>
      <c r="I25" s="75"/>
      <c r="J25" s="75"/>
      <c r="K25" s="75"/>
      <c r="M25" s="31"/>
    </row>
    <row r="26" spans="1:13" s="26" customFormat="1" ht="21.75" thickBot="1" x14ac:dyDescent="0.4">
      <c r="A26" s="24"/>
      <c r="B26" s="27">
        <v>3</v>
      </c>
      <c r="C26" s="76" t="str">
        <f ca="1">IF(ISBLANK(INDIRECT(ADDRESS(B26*2+2,3))),"",INDIRECT(ADDRESS(B26*2+2,3)))</f>
        <v>Петрушко</v>
      </c>
      <c r="D26" s="76"/>
      <c r="E26" s="77"/>
      <c r="F26" s="28">
        <v>11</v>
      </c>
      <c r="G26" s="29">
        <v>8</v>
      </c>
      <c r="H26" s="78" t="str">
        <f ca="1">IF(ISBLANK(INDIRECT(ADDRESS(K26*2+2,3))),"",INDIRECT(ADDRESS(K26*2+2,3)))</f>
        <v>Кайтукова</v>
      </c>
      <c r="I26" s="76"/>
      <c r="J26" s="76"/>
      <c r="K26" s="27">
        <v>1</v>
      </c>
      <c r="L26" s="30" t="s">
        <v>6</v>
      </c>
      <c r="M26" s="25">
        <v>3</v>
      </c>
    </row>
    <row r="27" spans="1:13" s="26" customFormat="1" ht="21.75" thickBot="1" x14ac:dyDescent="0.4">
      <c r="A27" s="24"/>
      <c r="B27" s="27">
        <v>4</v>
      </c>
      <c r="C27" s="76" t="str">
        <f ca="1">IF(ISBLANK(INDIRECT(ADDRESS(B27*2+2,3))),"",INDIRECT(ADDRESS(B27*2+2,3)))</f>
        <v>Бублик</v>
      </c>
      <c r="D27" s="76"/>
      <c r="E27" s="77"/>
      <c r="F27" s="28">
        <v>13</v>
      </c>
      <c r="G27" s="29">
        <v>10</v>
      </c>
      <c r="H27" s="78" t="str">
        <f ca="1">IF(ISBLANK(INDIRECT(ADDRESS(K27*2+2,3))),"",INDIRECT(ADDRESS(K27*2+2,3)))</f>
        <v>Скляр</v>
      </c>
      <c r="I27" s="76"/>
      <c r="J27" s="76"/>
      <c r="K27" s="27">
        <v>5</v>
      </c>
      <c r="L27" s="30" t="s">
        <v>6</v>
      </c>
      <c r="M27" s="25">
        <v>4</v>
      </c>
    </row>
    <row r="28" spans="1:13" s="26" customFormat="1" ht="21" x14ac:dyDescent="0.35">
      <c r="A28" s="24"/>
      <c r="M28" s="31"/>
    </row>
    <row r="29" spans="1:13" s="26" customFormat="1" ht="21.75" thickBot="1" x14ac:dyDescent="0.4">
      <c r="A29" s="24"/>
      <c r="B29" s="75" t="s">
        <v>9</v>
      </c>
      <c r="C29" s="75"/>
      <c r="D29" s="75"/>
      <c r="E29" s="75"/>
      <c r="F29" s="75"/>
      <c r="G29" s="75"/>
      <c r="H29" s="75"/>
      <c r="I29" s="75"/>
      <c r="J29" s="75"/>
      <c r="K29" s="75"/>
      <c r="M29" s="31"/>
    </row>
    <row r="30" spans="1:13" s="26" customFormat="1" ht="21.75" thickBot="1" x14ac:dyDescent="0.4">
      <c r="A30" s="24"/>
      <c r="B30" s="27">
        <v>1</v>
      </c>
      <c r="C30" s="76" t="str">
        <f ca="1">IF(ISBLANK(INDIRECT(ADDRESS(B30*2+2,3))),"",INDIRECT(ADDRESS(B30*2+2,3)))</f>
        <v>Кайтукова</v>
      </c>
      <c r="D30" s="76"/>
      <c r="E30" s="77"/>
      <c r="F30" s="28">
        <v>12</v>
      </c>
      <c r="G30" s="29">
        <v>13</v>
      </c>
      <c r="H30" s="78" t="str">
        <f ca="1">IF(ISBLANK(INDIRECT(ADDRESS(K30*2+2,3))),"",INDIRECT(ADDRESS(K30*2+2,3)))</f>
        <v>Бублик</v>
      </c>
      <c r="I30" s="76"/>
      <c r="J30" s="76"/>
      <c r="K30" s="27">
        <v>4</v>
      </c>
      <c r="L30" s="30" t="s">
        <v>6</v>
      </c>
      <c r="M30" s="25">
        <v>7</v>
      </c>
    </row>
    <row r="31" spans="1:13" s="26" customFormat="1" ht="21.75" thickBot="1" x14ac:dyDescent="0.4">
      <c r="A31" s="24"/>
      <c r="B31" s="27">
        <v>2</v>
      </c>
      <c r="C31" s="76" t="str">
        <f ca="1">IF(ISBLANK(INDIRECT(ADDRESS(B31*2+2,3))),"",INDIRECT(ADDRESS(B31*2+2,3)))</f>
        <v>Полякова</v>
      </c>
      <c r="D31" s="76"/>
      <c r="E31" s="77"/>
      <c r="F31" s="28">
        <v>13</v>
      </c>
      <c r="G31" s="29">
        <v>2</v>
      </c>
      <c r="H31" s="78" t="str">
        <f ca="1">IF(ISBLANK(INDIRECT(ADDRESS(K31*2+2,3))),"",INDIRECT(ADDRESS(K31*2+2,3)))</f>
        <v>Петрушко</v>
      </c>
      <c r="I31" s="76"/>
      <c r="J31" s="76"/>
      <c r="K31" s="27">
        <v>3</v>
      </c>
      <c r="L31" s="30" t="s">
        <v>6</v>
      </c>
      <c r="M31" s="25">
        <v>8</v>
      </c>
    </row>
    <row r="32" spans="1:13" s="26" customFormat="1" ht="21" x14ac:dyDescent="0.35">
      <c r="A32" s="24"/>
      <c r="M32" s="31"/>
    </row>
    <row r="33" spans="1:13" s="26" customFormat="1" ht="21.75" thickBot="1" x14ac:dyDescent="0.4">
      <c r="A33" s="24"/>
      <c r="B33" s="75" t="s">
        <v>10</v>
      </c>
      <c r="C33" s="75"/>
      <c r="D33" s="75"/>
      <c r="E33" s="75"/>
      <c r="F33" s="75"/>
      <c r="G33" s="75"/>
      <c r="H33" s="75"/>
      <c r="I33" s="75"/>
      <c r="J33" s="75"/>
      <c r="K33" s="75"/>
      <c r="M33" s="31"/>
    </row>
    <row r="34" spans="1:13" s="26" customFormat="1" ht="21.75" thickBot="1" x14ac:dyDescent="0.4">
      <c r="A34" s="24"/>
      <c r="B34" s="27">
        <v>4</v>
      </c>
      <c r="C34" s="76" t="str">
        <f ca="1">IF(ISBLANK(INDIRECT(ADDRESS(B34*2+2,3))),"",INDIRECT(ADDRESS(B34*2+2,3)))</f>
        <v>Бублик</v>
      </c>
      <c r="D34" s="76"/>
      <c r="E34" s="77"/>
      <c r="F34" s="28">
        <v>10</v>
      </c>
      <c r="G34" s="29">
        <v>13</v>
      </c>
      <c r="H34" s="78" t="str">
        <f ca="1">IF(ISBLANK(INDIRECT(ADDRESS(K34*2+2,3))),"",INDIRECT(ADDRESS(K34*2+2,3)))</f>
        <v>Полякова</v>
      </c>
      <c r="I34" s="76"/>
      <c r="J34" s="76"/>
      <c r="K34" s="27">
        <v>2</v>
      </c>
      <c r="L34" s="30" t="s">
        <v>6</v>
      </c>
      <c r="M34" s="25">
        <v>9</v>
      </c>
    </row>
    <row r="35" spans="1:13" s="26" customFormat="1" ht="21.75" thickBot="1" x14ac:dyDescent="0.4">
      <c r="A35" s="24"/>
      <c r="B35" s="27">
        <v>5</v>
      </c>
      <c r="C35" s="76" t="str">
        <f ca="1">IF(ISBLANK(INDIRECT(ADDRESS(B35*2+2,3))),"",INDIRECT(ADDRESS(B35*2+2,3)))</f>
        <v>Скляр</v>
      </c>
      <c r="D35" s="76"/>
      <c r="E35" s="77"/>
      <c r="F35" s="28">
        <v>13</v>
      </c>
      <c r="G35" s="29">
        <v>5</v>
      </c>
      <c r="H35" s="78" t="str">
        <f ca="1">IF(ISBLANK(INDIRECT(ADDRESS(K35*2+2,3))),"",INDIRECT(ADDRESS(K35*2+2,3)))</f>
        <v>Кайтукова</v>
      </c>
      <c r="I35" s="76"/>
      <c r="J35" s="76"/>
      <c r="K35" s="27">
        <v>1</v>
      </c>
      <c r="L35" s="30" t="s">
        <v>6</v>
      </c>
      <c r="M35" s="25">
        <v>10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25" right="0.25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7" workbookViewId="0">
      <selection activeCell="R15" sqref="R15"/>
    </sheetView>
  </sheetViews>
  <sheetFormatPr defaultRowHeight="15" x14ac:dyDescent="0.25"/>
  <cols>
    <col min="1" max="1" width="5.7109375" style="1" customWidth="1"/>
    <col min="2" max="15" width="9.140625" style="36" customWidth="1"/>
    <col min="16" max="16384" width="9.140625" style="36"/>
  </cols>
  <sheetData>
    <row r="1" spans="1:15" ht="26.25" x14ac:dyDescent="0.25">
      <c r="B1" s="109" t="s">
        <v>16</v>
      </c>
      <c r="C1" s="109"/>
      <c r="D1" s="109"/>
      <c r="E1" s="109"/>
      <c r="F1" s="109"/>
      <c r="G1" s="109"/>
      <c r="H1" s="109"/>
      <c r="I1" s="109"/>
      <c r="J1" s="109"/>
      <c r="K1" s="109"/>
      <c r="L1" s="36" t="s">
        <v>12</v>
      </c>
      <c r="N1" s="105">
        <v>45318</v>
      </c>
      <c r="O1" s="105"/>
    </row>
    <row r="2" spans="1:15" ht="15" customHeight="1" x14ac:dyDescent="0.25">
      <c r="C2" s="37"/>
    </row>
    <row r="3" spans="1:15" ht="15" customHeight="1" x14ac:dyDescent="0.25">
      <c r="C3" s="37"/>
    </row>
    <row r="4" spans="1:15" ht="18.75" x14ac:dyDescent="0.25">
      <c r="A4" s="1" t="s">
        <v>18</v>
      </c>
      <c r="B4" s="102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Алкина</v>
      </c>
      <c r="C4" s="103"/>
      <c r="D4" s="38">
        <v>6</v>
      </c>
      <c r="E4" s="39"/>
    </row>
    <row r="5" spans="1:15" ht="15" customHeight="1" x14ac:dyDescent="0.25">
      <c r="A5" s="1">
        <v>1</v>
      </c>
      <c r="C5" s="37"/>
      <c r="E5" s="40"/>
    </row>
    <row r="6" spans="1:15" ht="18.75" x14ac:dyDescent="0.25">
      <c r="B6" s="41" t="s">
        <v>6</v>
      </c>
      <c r="C6" s="37">
        <v>1</v>
      </c>
      <c r="E6" s="42"/>
      <c r="F6" s="104" t="str">
        <f ca="1">IF(ISBLANK(D4),"",IF(D4&gt;D8,B4,B8))</f>
        <v>Мирошниченко</v>
      </c>
      <c r="G6" s="103"/>
      <c r="H6" s="38">
        <v>2</v>
      </c>
      <c r="I6" s="39"/>
    </row>
    <row r="7" spans="1:15" ht="15" customHeight="1" x14ac:dyDescent="0.25">
      <c r="C7" s="37"/>
      <c r="E7" s="42"/>
      <c r="I7" s="40"/>
    </row>
    <row r="8" spans="1:15" ht="18.75" x14ac:dyDescent="0.25">
      <c r="A8" s="1" t="s">
        <v>19</v>
      </c>
      <c r="B8" s="102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Мирошниченко</v>
      </c>
      <c r="C8" s="103"/>
      <c r="D8" s="38">
        <v>13</v>
      </c>
      <c r="E8" s="43"/>
      <c r="I8" s="42"/>
    </row>
    <row r="9" spans="1:15" ht="15" customHeight="1" x14ac:dyDescent="0.25">
      <c r="A9" s="1">
        <v>2</v>
      </c>
      <c r="C9" s="37"/>
      <c r="I9" s="42"/>
    </row>
    <row r="10" spans="1:15" ht="18.75" x14ac:dyDescent="0.25">
      <c r="C10" s="37"/>
      <c r="G10" s="41" t="s">
        <v>6</v>
      </c>
      <c r="H10" s="37" t="s">
        <v>23</v>
      </c>
      <c r="I10" s="42"/>
      <c r="J10" s="104" t="str">
        <f ca="1">IF(ISBLANK(H6),"",IF(H6&gt;H14,F6,F14))</f>
        <v>Бублик</v>
      </c>
      <c r="K10" s="102"/>
      <c r="L10" s="38">
        <v>13</v>
      </c>
      <c r="M10" s="39"/>
    </row>
    <row r="11" spans="1:15" ht="15" customHeight="1" x14ac:dyDescent="0.25">
      <c r="C11" s="37"/>
      <c r="I11" s="42"/>
      <c r="M11" s="40"/>
    </row>
    <row r="12" spans="1:15" ht="18.75" x14ac:dyDescent="0.25">
      <c r="A12" s="1" t="s">
        <v>20</v>
      </c>
      <c r="B12" s="102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Пименова</v>
      </c>
      <c r="C12" s="103"/>
      <c r="D12" s="38">
        <v>8</v>
      </c>
      <c r="E12" s="39"/>
      <c r="I12" s="42"/>
      <c r="M12" s="42"/>
    </row>
    <row r="13" spans="1:15" ht="15" customHeight="1" x14ac:dyDescent="0.25">
      <c r="A13" s="1">
        <v>1</v>
      </c>
      <c r="C13" s="37"/>
      <c r="E13" s="40"/>
      <c r="I13" s="42"/>
      <c r="M13" s="42"/>
    </row>
    <row r="14" spans="1:15" ht="18.75" x14ac:dyDescent="0.25">
      <c r="B14" s="41" t="s">
        <v>6</v>
      </c>
      <c r="C14" s="37">
        <v>2</v>
      </c>
      <c r="E14" s="42"/>
      <c r="F14" s="104" t="str">
        <f ca="1">IF(ISBLANK(D12),"",IF(D12&gt;D16,B12,B16))</f>
        <v>Бублик</v>
      </c>
      <c r="G14" s="103"/>
      <c r="H14" s="38">
        <v>13</v>
      </c>
      <c r="I14" s="43"/>
      <c r="M14" s="42"/>
    </row>
    <row r="15" spans="1:15" ht="15" customHeight="1" x14ac:dyDescent="0.25">
      <c r="E15" s="42"/>
      <c r="M15" s="42"/>
    </row>
    <row r="16" spans="1:15" ht="18.75" x14ac:dyDescent="0.25">
      <c r="A16" s="1" t="s">
        <v>21</v>
      </c>
      <c r="B16" s="102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Бублик</v>
      </c>
      <c r="C16" s="103"/>
      <c r="D16" s="38">
        <v>13</v>
      </c>
      <c r="E16" s="43"/>
      <c r="M16" s="42"/>
    </row>
    <row r="17" spans="1:15" ht="15" customHeight="1" x14ac:dyDescent="0.25">
      <c r="A17" s="1">
        <v>2</v>
      </c>
      <c r="M17" s="42"/>
    </row>
    <row r="18" spans="1:15" ht="18.75" x14ac:dyDescent="0.25">
      <c r="B18" s="41"/>
      <c r="K18" s="41" t="s">
        <v>6</v>
      </c>
      <c r="L18" s="37" t="s">
        <v>23</v>
      </c>
      <c r="M18" s="42"/>
      <c r="N18" s="107" t="str">
        <f ca="1">IF(ISBLANK(L10),"",IF(L10&gt;L26,J10,J26))</f>
        <v>Бублик</v>
      </c>
      <c r="O18" s="108"/>
    </row>
    <row r="19" spans="1:15" ht="15" customHeight="1" x14ac:dyDescent="0.25">
      <c r="M19" s="42"/>
    </row>
    <row r="20" spans="1:15" ht="18.75" x14ac:dyDescent="0.25">
      <c r="A20" s="1" t="s">
        <v>96</v>
      </c>
      <c r="B20" s="102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Орлова</v>
      </c>
      <c r="C20" s="103"/>
      <c r="D20" s="38">
        <v>7</v>
      </c>
      <c r="E20" s="39"/>
      <c r="M20" s="42"/>
    </row>
    <row r="21" spans="1:15" ht="15" customHeight="1" x14ac:dyDescent="0.25">
      <c r="A21" s="1">
        <v>2</v>
      </c>
      <c r="E21" s="40"/>
      <c r="M21" s="42"/>
    </row>
    <row r="22" spans="1:15" ht="18.75" x14ac:dyDescent="0.25">
      <c r="B22" s="41" t="s">
        <v>6</v>
      </c>
      <c r="C22" s="37">
        <v>3</v>
      </c>
      <c r="E22" s="42"/>
      <c r="F22" s="104" t="str">
        <f ca="1">IF(ISBLANK(D20),"",IF(D20&gt;D24,B20,B24))</f>
        <v>Полякова</v>
      </c>
      <c r="G22" s="103"/>
      <c r="H22" s="38">
        <v>11</v>
      </c>
      <c r="I22" s="39"/>
      <c r="M22" s="42"/>
    </row>
    <row r="23" spans="1:15" ht="15" customHeight="1" x14ac:dyDescent="0.25">
      <c r="E23" s="42"/>
      <c r="I23" s="40"/>
      <c r="M23" s="42"/>
    </row>
    <row r="24" spans="1:15" ht="18.75" x14ac:dyDescent="0.25">
      <c r="A24" s="1" t="s">
        <v>21</v>
      </c>
      <c r="B24" s="102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Полякова</v>
      </c>
      <c r="C24" s="103"/>
      <c r="D24" s="38">
        <v>12</v>
      </c>
      <c r="E24" s="43"/>
      <c r="I24" s="42"/>
      <c r="M24" s="42"/>
    </row>
    <row r="25" spans="1:15" ht="15" customHeight="1" x14ac:dyDescent="0.25">
      <c r="A25" s="1">
        <v>1</v>
      </c>
      <c r="I25" s="42"/>
      <c r="M25" s="42"/>
    </row>
    <row r="26" spans="1:15" ht="18.75" x14ac:dyDescent="0.25">
      <c r="G26" s="41" t="s">
        <v>6</v>
      </c>
      <c r="H26" s="37" t="s">
        <v>22</v>
      </c>
      <c r="I26" s="42"/>
      <c r="J26" s="104" t="str">
        <f ca="1">IF(ISBLANK(H22),"",IF(H22&gt;H30,F22,F30))</f>
        <v>Бирюкова</v>
      </c>
      <c r="K26" s="103"/>
      <c r="L26" s="38">
        <v>12</v>
      </c>
      <c r="M26" s="43"/>
    </row>
    <row r="27" spans="1:15" ht="15" customHeight="1" x14ac:dyDescent="0.25">
      <c r="I27" s="42"/>
    </row>
    <row r="28" spans="1:15" ht="18.75" x14ac:dyDescent="0.25">
      <c r="A28" s="1" t="s">
        <v>20</v>
      </c>
      <c r="B28" s="102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Кондратова</v>
      </c>
      <c r="C28" s="103"/>
      <c r="D28" s="38">
        <v>2</v>
      </c>
      <c r="E28" s="39"/>
      <c r="I28" s="42"/>
    </row>
    <row r="29" spans="1:15" ht="15" customHeight="1" x14ac:dyDescent="0.25">
      <c r="A29" s="1">
        <v>2</v>
      </c>
      <c r="E29" s="40"/>
      <c r="I29" s="42"/>
    </row>
    <row r="30" spans="1:15" ht="18.75" x14ac:dyDescent="0.25">
      <c r="B30" s="41" t="s">
        <v>6</v>
      </c>
      <c r="C30" s="37">
        <v>4</v>
      </c>
      <c r="E30" s="42"/>
      <c r="F30" s="104" t="str">
        <f ca="1">IF(ISBLANK(D28),"",IF(D28&gt;D32,B28,B32))</f>
        <v>Бирюкова</v>
      </c>
      <c r="G30" s="103"/>
      <c r="H30" s="38">
        <v>13</v>
      </c>
      <c r="I30" s="43"/>
    </row>
    <row r="31" spans="1:15" ht="15" customHeight="1" x14ac:dyDescent="0.25">
      <c r="E31" s="42"/>
    </row>
    <row r="32" spans="1:15" ht="18.75" x14ac:dyDescent="0.25">
      <c r="A32" s="1" t="s">
        <v>19</v>
      </c>
      <c r="B32" s="102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Бирюкова</v>
      </c>
      <c r="C32" s="103"/>
      <c r="D32" s="38">
        <v>13</v>
      </c>
      <c r="E32" s="43"/>
    </row>
    <row r="33" spans="1:7" x14ac:dyDescent="0.25">
      <c r="A33" s="1">
        <v>1</v>
      </c>
    </row>
    <row r="34" spans="1:7" x14ac:dyDescent="0.25">
      <c r="C34" s="36" t="s">
        <v>26</v>
      </c>
    </row>
    <row r="36" spans="1:7" ht="18.75" x14ac:dyDescent="0.25">
      <c r="B36" s="102" t="str">
        <f ca="1">IF(ISBLANK(H6),"",IF(H6&gt;H14,F14,F6))</f>
        <v>Мирошниченко</v>
      </c>
      <c r="C36" s="103"/>
      <c r="D36" s="38">
        <v>6</v>
      </c>
      <c r="E36" s="39"/>
      <c r="F36" s="106"/>
      <c r="G36" s="106"/>
    </row>
    <row r="37" spans="1:7" ht="15" customHeight="1" x14ac:dyDescent="0.25">
      <c r="E37" s="40"/>
    </row>
    <row r="38" spans="1:7" ht="18.75" x14ac:dyDescent="0.25">
      <c r="C38" s="41" t="s">
        <v>6</v>
      </c>
      <c r="D38" s="36" t="s">
        <v>22</v>
      </c>
      <c r="E38" s="42"/>
      <c r="F38" s="104" t="str">
        <f ca="1">IF(ISBLANK(D36),"",IF(D36&gt;D40,B36,B40))</f>
        <v>Полякова</v>
      </c>
      <c r="G38" s="102"/>
    </row>
    <row r="39" spans="1:7" ht="15" customHeight="1" x14ac:dyDescent="0.25">
      <c r="E39" s="42"/>
    </row>
    <row r="40" spans="1:7" ht="18.75" x14ac:dyDescent="0.25">
      <c r="B40" s="102" t="str">
        <f ca="1">IF(ISBLANK(H22),"",IF(H22&gt;H30,F30,F22))</f>
        <v>Полякова</v>
      </c>
      <c r="C40" s="103"/>
      <c r="D40" s="38">
        <v>13</v>
      </c>
      <c r="E40" s="43"/>
    </row>
  </sheetData>
  <mergeCells count="21">
    <mergeCell ref="F38:G38"/>
    <mergeCell ref="B40:C40"/>
    <mergeCell ref="N1:O1"/>
    <mergeCell ref="J26:K26"/>
    <mergeCell ref="B28:C28"/>
    <mergeCell ref="F30:G30"/>
    <mergeCell ref="B32:C32"/>
    <mergeCell ref="B36:C36"/>
    <mergeCell ref="F36:G36"/>
    <mergeCell ref="F14:G14"/>
    <mergeCell ref="B16:C16"/>
    <mergeCell ref="N18:O18"/>
    <mergeCell ref="B20:C20"/>
    <mergeCell ref="F22:G22"/>
    <mergeCell ref="B24:C24"/>
    <mergeCell ref="B1:K1"/>
    <mergeCell ref="B4:C4"/>
    <mergeCell ref="F6:G6"/>
    <mergeCell ref="B8:C8"/>
    <mergeCell ref="J10:K10"/>
    <mergeCell ref="B12:C12"/>
  </mergeCells>
  <pageMargins left="0.25" right="0.25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workbookViewId="0">
      <selection activeCell="O36" sqref="O36"/>
    </sheetView>
  </sheetViews>
  <sheetFormatPr defaultRowHeight="15" x14ac:dyDescent="0.25"/>
  <cols>
    <col min="1" max="1" width="9.140625" style="1"/>
    <col min="2" max="15" width="9.140625" style="36" customWidth="1"/>
    <col min="16" max="16384" width="9.140625" style="36"/>
  </cols>
  <sheetData>
    <row r="1" spans="1:15" ht="26.25" x14ac:dyDescent="0.25">
      <c r="B1" s="109" t="s">
        <v>17</v>
      </c>
      <c r="C1" s="109"/>
      <c r="D1" s="109"/>
      <c r="E1" s="109"/>
      <c r="F1" s="109"/>
      <c r="G1" s="109"/>
      <c r="H1" s="109"/>
      <c r="I1" s="109"/>
      <c r="J1" s="109"/>
      <c r="K1" s="109"/>
      <c r="L1" s="36" t="s">
        <v>12</v>
      </c>
      <c r="N1" s="105">
        <v>45318</v>
      </c>
      <c r="O1" s="105"/>
    </row>
    <row r="2" spans="1:15" ht="15" customHeight="1" x14ac:dyDescent="0.25">
      <c r="C2" s="37"/>
    </row>
    <row r="3" spans="1:15" ht="15" customHeight="1" x14ac:dyDescent="0.25">
      <c r="C3" s="37"/>
    </row>
    <row r="4" spans="1:15" ht="18.75" x14ac:dyDescent="0.25">
      <c r="A4" s="1" t="s">
        <v>18</v>
      </c>
      <c r="B4" s="102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Лукьянова</v>
      </c>
      <c r="C4" s="103"/>
      <c r="D4" s="38">
        <v>13</v>
      </c>
      <c r="E4" s="39"/>
    </row>
    <row r="5" spans="1:15" ht="15" customHeight="1" x14ac:dyDescent="0.25">
      <c r="A5" s="1">
        <v>3</v>
      </c>
      <c r="C5" s="37"/>
      <c r="E5" s="40"/>
    </row>
    <row r="6" spans="1:15" ht="18.75" x14ac:dyDescent="0.25">
      <c r="B6" s="41" t="s">
        <v>6</v>
      </c>
      <c r="C6" s="37">
        <v>5</v>
      </c>
      <c r="E6" s="42"/>
      <c r="F6" s="104" t="str">
        <f ca="1">IF(ISBLANK(D4),"",IF(D4&gt;D8,B4,B8))</f>
        <v>Лукьянова</v>
      </c>
      <c r="G6" s="103"/>
      <c r="H6" s="38">
        <v>9</v>
      </c>
      <c r="I6" s="39"/>
    </row>
    <row r="7" spans="1:15" ht="15" customHeight="1" x14ac:dyDescent="0.25">
      <c r="C7" s="37"/>
      <c r="E7" s="42"/>
      <c r="I7" s="40"/>
    </row>
    <row r="8" spans="1:15" ht="18.75" x14ac:dyDescent="0.25">
      <c r="A8" s="1" t="s">
        <v>19</v>
      </c>
      <c r="B8" s="102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Большакова</v>
      </c>
      <c r="C8" s="103"/>
      <c r="D8" s="38">
        <v>11</v>
      </c>
      <c r="E8" s="43"/>
      <c r="I8" s="42"/>
    </row>
    <row r="9" spans="1:15" ht="15" customHeight="1" x14ac:dyDescent="0.25">
      <c r="A9" s="1">
        <v>4</v>
      </c>
      <c r="C9" s="37"/>
      <c r="I9" s="42"/>
    </row>
    <row r="10" spans="1:15" ht="18.75" x14ac:dyDescent="0.25">
      <c r="C10" s="37"/>
      <c r="G10" s="41" t="s">
        <v>6</v>
      </c>
      <c r="H10" s="37" t="s">
        <v>25</v>
      </c>
      <c r="I10" s="42"/>
      <c r="J10" s="104" t="str">
        <f ca="1">IF(ISBLANK(H6),"",IF(H6&gt;H14,F6,F14))</f>
        <v>Крошилова</v>
      </c>
      <c r="K10" s="102"/>
      <c r="L10" s="38">
        <v>13</v>
      </c>
      <c r="M10" s="39"/>
    </row>
    <row r="11" spans="1:15" ht="15" customHeight="1" x14ac:dyDescent="0.25">
      <c r="C11" s="37"/>
      <c r="I11" s="42"/>
      <c r="M11" s="40"/>
    </row>
    <row r="12" spans="1:15" ht="18.75" x14ac:dyDescent="0.25">
      <c r="A12" s="1" t="s">
        <v>20</v>
      </c>
      <c r="B12" s="102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Крошилова</v>
      </c>
      <c r="C12" s="103"/>
      <c r="D12" s="38">
        <v>13</v>
      </c>
      <c r="E12" s="39"/>
      <c r="I12" s="42"/>
      <c r="M12" s="42"/>
    </row>
    <row r="13" spans="1:15" ht="15" customHeight="1" x14ac:dyDescent="0.25">
      <c r="A13" s="1">
        <v>3</v>
      </c>
      <c r="C13" s="37"/>
      <c r="E13" s="40"/>
      <c r="I13" s="42"/>
      <c r="M13" s="42"/>
    </row>
    <row r="14" spans="1:15" ht="18.75" x14ac:dyDescent="0.25">
      <c r="B14" s="41" t="s">
        <v>6</v>
      </c>
      <c r="C14" s="37">
        <v>6</v>
      </c>
      <c r="E14" s="42"/>
      <c r="F14" s="104" t="str">
        <f ca="1">IF(ISBLANK(D12),"",IF(D12&gt;D16,B12,B16))</f>
        <v>Крошилова</v>
      </c>
      <c r="G14" s="103"/>
      <c r="H14" s="38">
        <v>13</v>
      </c>
      <c r="I14" s="43"/>
      <c r="M14" s="42"/>
    </row>
    <row r="15" spans="1:15" ht="15" customHeight="1" x14ac:dyDescent="0.25">
      <c r="E15" s="42"/>
      <c r="M15" s="42"/>
    </row>
    <row r="16" spans="1:15" ht="18.75" x14ac:dyDescent="0.25">
      <c r="A16" s="1" t="s">
        <v>21</v>
      </c>
      <c r="B16" s="102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Скляр</v>
      </c>
      <c r="C16" s="103"/>
      <c r="D16" s="38">
        <v>5</v>
      </c>
      <c r="E16" s="43"/>
      <c r="M16" s="42"/>
    </row>
    <row r="17" spans="1:15" ht="15" customHeight="1" x14ac:dyDescent="0.25">
      <c r="A17" s="1">
        <v>4</v>
      </c>
      <c r="M17" s="42"/>
    </row>
    <row r="18" spans="1:15" ht="18.75" x14ac:dyDescent="0.25">
      <c r="B18" s="41"/>
      <c r="K18" s="41" t="s">
        <v>6</v>
      </c>
      <c r="L18" s="37" t="s">
        <v>24</v>
      </c>
      <c r="M18" s="42"/>
      <c r="N18" s="104" t="str">
        <f ca="1">IF(ISBLANK(L10),"",IF(L10&gt;L26,J10,J26))</f>
        <v>Крошилова</v>
      </c>
      <c r="O18" s="102"/>
    </row>
    <row r="19" spans="1:15" ht="15" customHeight="1" x14ac:dyDescent="0.25">
      <c r="M19" s="42"/>
    </row>
    <row r="20" spans="1:15" ht="18.75" x14ac:dyDescent="0.25">
      <c r="A20" s="1" t="s">
        <v>96</v>
      </c>
      <c r="B20" s="102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Крылова</v>
      </c>
      <c r="C20" s="103"/>
      <c r="D20" s="38">
        <v>6</v>
      </c>
      <c r="E20" s="39"/>
      <c r="M20" s="42"/>
    </row>
    <row r="21" spans="1:15" ht="15" customHeight="1" x14ac:dyDescent="0.25">
      <c r="A21" s="1">
        <v>4</v>
      </c>
      <c r="E21" s="40"/>
      <c r="M21" s="42"/>
    </row>
    <row r="22" spans="1:15" ht="18.75" x14ac:dyDescent="0.25">
      <c r="B22" s="41" t="s">
        <v>6</v>
      </c>
      <c r="C22" s="37">
        <v>7</v>
      </c>
      <c r="E22" s="42"/>
      <c r="F22" s="104" t="str">
        <f ca="1">IF(ISBLANK(D20),"",IF(D20&gt;D24,B20,B24))</f>
        <v>Петрушко</v>
      </c>
      <c r="G22" s="103"/>
      <c r="H22" s="38">
        <v>13</v>
      </c>
      <c r="I22" s="39"/>
      <c r="M22" s="42"/>
    </row>
    <row r="23" spans="1:15" ht="15" customHeight="1" x14ac:dyDescent="0.25">
      <c r="E23" s="42"/>
      <c r="I23" s="40"/>
      <c r="M23" s="42"/>
    </row>
    <row r="24" spans="1:15" ht="18.75" x14ac:dyDescent="0.25">
      <c r="A24" s="1" t="s">
        <v>21</v>
      </c>
      <c r="B24" s="102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Петрушко</v>
      </c>
      <c r="C24" s="103"/>
      <c r="D24" s="38">
        <v>13</v>
      </c>
      <c r="E24" s="43"/>
      <c r="I24" s="42"/>
      <c r="M24" s="42"/>
    </row>
    <row r="25" spans="1:15" ht="15" customHeight="1" x14ac:dyDescent="0.25">
      <c r="A25" s="1">
        <v>3</v>
      </c>
      <c r="I25" s="42"/>
      <c r="M25" s="42"/>
    </row>
    <row r="26" spans="1:15" ht="18.75" x14ac:dyDescent="0.25">
      <c r="G26" s="41" t="s">
        <v>6</v>
      </c>
      <c r="H26" s="37" t="s">
        <v>24</v>
      </c>
      <c r="I26" s="42"/>
      <c r="J26" s="104" t="str">
        <f ca="1">IF(ISBLANK(H22),"",IF(H22&gt;H30,F22,F30))</f>
        <v>Петрушко</v>
      </c>
      <c r="K26" s="103"/>
      <c r="L26" s="38">
        <v>6</v>
      </c>
      <c r="M26" s="43"/>
    </row>
    <row r="27" spans="1:15" ht="15" customHeight="1" x14ac:dyDescent="0.25">
      <c r="I27" s="42"/>
    </row>
    <row r="28" spans="1:15" ht="18.75" x14ac:dyDescent="0.25">
      <c r="A28" s="1" t="s">
        <v>20</v>
      </c>
      <c r="B28" s="102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Баринова</v>
      </c>
      <c r="C28" s="103"/>
      <c r="D28" s="38">
        <v>13</v>
      </c>
      <c r="E28" s="39"/>
      <c r="I28" s="42"/>
    </row>
    <row r="29" spans="1:15" ht="15" customHeight="1" x14ac:dyDescent="0.25">
      <c r="A29" s="1">
        <v>4</v>
      </c>
      <c r="E29" s="40"/>
      <c r="I29" s="42"/>
    </row>
    <row r="30" spans="1:15" ht="18.75" x14ac:dyDescent="0.25">
      <c r="B30" s="41" t="s">
        <v>6</v>
      </c>
      <c r="C30" s="37">
        <v>8</v>
      </c>
      <c r="E30" s="42"/>
      <c r="F30" s="104" t="str">
        <f ca="1">IF(ISBLANK(D28),"",IF(D28&gt;D32,B28,B32))</f>
        <v>Баринова</v>
      </c>
      <c r="G30" s="103"/>
      <c r="H30" s="38">
        <v>9</v>
      </c>
      <c r="I30" s="43"/>
    </row>
    <row r="31" spans="1:15" ht="15" customHeight="1" x14ac:dyDescent="0.25">
      <c r="E31" s="42"/>
    </row>
    <row r="32" spans="1:15" ht="18.75" x14ac:dyDescent="0.25">
      <c r="A32" s="1" t="s">
        <v>19</v>
      </c>
      <c r="B32" s="102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Зубова</v>
      </c>
      <c r="C32" s="103"/>
      <c r="D32" s="38">
        <v>12</v>
      </c>
      <c r="E32" s="43"/>
    </row>
    <row r="33" spans="1:15" x14ac:dyDescent="0.25">
      <c r="A33" s="1">
        <v>3</v>
      </c>
    </row>
    <row r="34" spans="1:15" x14ac:dyDescent="0.25">
      <c r="C34" s="36" t="s">
        <v>26</v>
      </c>
    </row>
    <row r="36" spans="1:15" ht="18.75" x14ac:dyDescent="0.25">
      <c r="B36" s="102" t="str">
        <f ca="1">IF(ISBLANK(H6),"",IF(H6&gt;H14,F14,F6))</f>
        <v>Лукьянова</v>
      </c>
      <c r="C36" s="103"/>
      <c r="D36" s="38">
        <v>13</v>
      </c>
      <c r="E36" s="39"/>
      <c r="F36" s="106"/>
      <c r="G36" s="106"/>
      <c r="O36" s="36" t="s">
        <v>93</v>
      </c>
    </row>
    <row r="37" spans="1:15" ht="15" customHeight="1" x14ac:dyDescent="0.25">
      <c r="E37" s="40"/>
    </row>
    <row r="38" spans="1:15" ht="18.75" x14ac:dyDescent="0.25">
      <c r="C38" s="41" t="s">
        <v>6</v>
      </c>
      <c r="D38" s="36" t="s">
        <v>25</v>
      </c>
      <c r="E38" s="42"/>
      <c r="F38" s="104" t="str">
        <f ca="1">IF(ISBLANK(D36),"",IF(D36&gt;D40,B36,B40))</f>
        <v>Лукьянова</v>
      </c>
      <c r="G38" s="102"/>
    </row>
    <row r="39" spans="1:15" ht="15" customHeight="1" x14ac:dyDescent="0.25">
      <c r="E39" s="42"/>
    </row>
    <row r="40" spans="1:15" ht="18.75" x14ac:dyDescent="0.25">
      <c r="B40" s="102" t="str">
        <f ca="1">IF(ISBLANK(H22),"",IF(H22&gt;H30,F30,F22))</f>
        <v>Баринова</v>
      </c>
      <c r="C40" s="103"/>
      <c r="D40" s="38">
        <v>8</v>
      </c>
      <c r="E40" s="43"/>
    </row>
  </sheetData>
  <mergeCells count="21">
    <mergeCell ref="F38:G38"/>
    <mergeCell ref="B40:C40"/>
    <mergeCell ref="N1:O1"/>
    <mergeCell ref="J26:K26"/>
    <mergeCell ref="B28:C28"/>
    <mergeCell ref="F30:G30"/>
    <mergeCell ref="B32:C32"/>
    <mergeCell ref="B36:C36"/>
    <mergeCell ref="F36:G36"/>
    <mergeCell ref="F14:G14"/>
    <mergeCell ref="B16:C16"/>
    <mergeCell ref="N18:O18"/>
    <mergeCell ref="B20:C20"/>
    <mergeCell ref="F22:G22"/>
    <mergeCell ref="B24:C24"/>
    <mergeCell ref="B1:K1"/>
    <mergeCell ref="B4:C4"/>
    <mergeCell ref="F6:G6"/>
    <mergeCell ref="B8:C8"/>
    <mergeCell ref="J10:K10"/>
    <mergeCell ref="B12:C12"/>
  </mergeCells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Регистрация</vt:lpstr>
      <vt:lpstr>A</vt:lpstr>
      <vt:lpstr>B</vt:lpstr>
      <vt:lpstr>C</vt:lpstr>
      <vt:lpstr>D</vt:lpstr>
      <vt:lpstr>КА</vt:lpstr>
      <vt:lpstr>КВ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Тихонов Дмитрий</cp:lastModifiedBy>
  <cp:lastPrinted>2024-01-27T14:41:04Z</cp:lastPrinted>
  <dcterms:created xsi:type="dcterms:W3CDTF">2024-01-15T08:58:19Z</dcterms:created>
  <dcterms:modified xsi:type="dcterms:W3CDTF">2024-01-29T08:41:47Z</dcterms:modified>
</cp:coreProperties>
</file>